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480" windowHeight="4095" tabRatio="512" activeTab="0"/>
  </bookViews>
  <sheets>
    <sheet name="シート１" sheetId="1" r:id="rId1"/>
    <sheet name="シート２" sheetId="2" r:id="rId2"/>
    <sheet name="シート４" sheetId="3" state="hidden" r:id="rId3"/>
    <sheet name="シート５" sheetId="4" state="hidden" r:id="rId4"/>
    <sheet name="シート６" sheetId="5" state="hidden" r:id="rId5"/>
    <sheet name="シート７" sheetId="6" state="hidden" r:id="rId6"/>
    <sheet name="グラフ" sheetId="7" r:id="rId7"/>
  </sheets>
  <definedNames>
    <definedName name="_xlnm.Print_Area" localSheetId="0">'シート１'!$A$2:$AC$51</definedName>
  </definedNames>
  <calcPr fullCalcOnLoad="1"/>
</workbook>
</file>

<file path=xl/sharedStrings.xml><?xml version="1.0" encoding="utf-8"?>
<sst xmlns="http://schemas.openxmlformats.org/spreadsheetml/2006/main" count="558" uniqueCount="299">
  <si>
    <t>収入金額</t>
  </si>
  <si>
    <t>-所得税</t>
  </si>
  <si>
    <t>-社会保険料</t>
  </si>
  <si>
    <t>合計</t>
  </si>
  <si>
    <t>項目</t>
  </si>
  <si>
    <t>内容</t>
  </si>
  <si>
    <t>毎月支出</t>
  </si>
  <si>
    <t>年数回の支出</t>
  </si>
  <si>
    <t>1年間の支出</t>
  </si>
  <si>
    <t>食費</t>
  </si>
  <si>
    <t>水道光熱費</t>
  </si>
  <si>
    <t>日用雑貨費</t>
  </si>
  <si>
    <t>趣味娯楽費</t>
  </si>
  <si>
    <t>小計</t>
  </si>
  <si>
    <t>住宅ローン</t>
  </si>
  <si>
    <t>ガソリン代</t>
  </si>
  <si>
    <t>年</t>
  </si>
  <si>
    <t>資金計画</t>
  </si>
  <si>
    <t>収入計</t>
  </si>
  <si>
    <t>支出計</t>
  </si>
  <si>
    <t>単位：万円</t>
  </si>
  <si>
    <t>その他</t>
  </si>
  <si>
    <t>通信費</t>
  </si>
  <si>
    <t>駐車場代</t>
  </si>
  <si>
    <t>＝1年間の　　　　　　　　　　　　　　　　　　　　　　　　手取り収入</t>
  </si>
  <si>
    <t>基本生活費</t>
  </si>
  <si>
    <t>教育関連</t>
  </si>
  <si>
    <t>住宅関連費</t>
  </si>
  <si>
    <t>公営住宅等家賃</t>
  </si>
  <si>
    <t>マイカー関連費</t>
  </si>
  <si>
    <t>保険関連費</t>
  </si>
  <si>
    <t>夫の保険</t>
  </si>
  <si>
    <t>妻の保険</t>
  </si>
  <si>
    <t>こども保険</t>
  </si>
  <si>
    <t>旅行</t>
  </si>
  <si>
    <t>現在借入残高</t>
  </si>
  <si>
    <t>返済額（年間）</t>
  </si>
  <si>
    <t>その他のローン</t>
  </si>
  <si>
    <t>１子</t>
  </si>
  <si>
    <t>歳</t>
  </si>
  <si>
    <t>2子</t>
  </si>
  <si>
    <t>3子</t>
  </si>
  <si>
    <t>単位：万円</t>
  </si>
  <si>
    <t>1子</t>
  </si>
  <si>
    <t>2子</t>
  </si>
  <si>
    <t>3子</t>
  </si>
  <si>
    <t>合計</t>
  </si>
  <si>
    <t>年齢</t>
  </si>
  <si>
    <t>歳</t>
  </si>
  <si>
    <t>費用</t>
  </si>
  <si>
    <t>平成</t>
  </si>
  <si>
    <t>種類</t>
  </si>
  <si>
    <t>種類</t>
  </si>
  <si>
    <t>合計</t>
  </si>
  <si>
    <t>預貯金（預入金額）</t>
  </si>
  <si>
    <t>保険（解約返戻金）</t>
  </si>
  <si>
    <t>投資商品（時価）</t>
  </si>
  <si>
    <t>その他金融資産</t>
  </si>
  <si>
    <t>残高</t>
  </si>
  <si>
    <t>住宅ローン</t>
  </si>
  <si>
    <t>当初借入金額</t>
  </si>
  <si>
    <t>返済開始年月</t>
  </si>
  <si>
    <t>返済終了年月</t>
  </si>
  <si>
    <t>返済終了年月</t>
  </si>
  <si>
    <t>預貯金等金融資産</t>
  </si>
  <si>
    <t>既存ローン等借入</t>
  </si>
  <si>
    <t>新規ローン等借入</t>
  </si>
  <si>
    <t>Ｈ20.4.2～Ｈ21.4.1</t>
  </si>
  <si>
    <t>Ｈ22.4.2～Ｈ23.4.1</t>
  </si>
  <si>
    <t>Ｈ21.4.2～Ｈ22.4.1</t>
  </si>
  <si>
    <t>Ｈ19.4.2～Ｈ20.4.1</t>
  </si>
  <si>
    <t>Ｈ17.4.2～Ｈ18.4.1</t>
  </si>
  <si>
    <t>Ｈ18.4.2～Ｈ19.4.1</t>
  </si>
  <si>
    <t>Ｈ16.4.2～Ｈ17.4.1</t>
  </si>
  <si>
    <t>Ｈ15.4.2～Ｈ16.4.1</t>
  </si>
  <si>
    <t>Ｈ14.4.2～Ｈ15.4.1</t>
  </si>
  <si>
    <t>Ｈ13.4.2～Ｈ14.4.1</t>
  </si>
  <si>
    <t>Ｈ12.4.2～Ｈ13.4.1</t>
  </si>
  <si>
    <t>Ｈ11.4.2～Ｈ12.4.1</t>
  </si>
  <si>
    <t>Ｈ10.4.2～Ｈ11.4.1</t>
  </si>
  <si>
    <t>Ｈ9.4.2～Ｈ10.4.1</t>
  </si>
  <si>
    <t>Ｈ8.4.2～Ｈ9.4.1</t>
  </si>
  <si>
    <t>Ｈ7.4.2～Ｈ8.4.1</t>
  </si>
  <si>
    <t>Ｈ6.4.2～Ｈ7.4.1</t>
  </si>
  <si>
    <t>Ｈ5.4.2～Ｈ6.4.1</t>
  </si>
  <si>
    <t>Ｈ4.4.2～Ｈ5.4.1</t>
  </si>
  <si>
    <t>生年月日</t>
  </si>
  <si>
    <t>教育費</t>
  </si>
  <si>
    <t>小学1年</t>
  </si>
  <si>
    <t>小学2年</t>
  </si>
  <si>
    <t>小学3年</t>
  </si>
  <si>
    <t>小学4年</t>
  </si>
  <si>
    <t>小学5年</t>
  </si>
  <si>
    <t>小学6年</t>
  </si>
  <si>
    <t>中学1年</t>
  </si>
  <si>
    <t>中学2年</t>
  </si>
  <si>
    <t>中学3年</t>
  </si>
  <si>
    <t>高校1年</t>
  </si>
  <si>
    <t>高校2年</t>
  </si>
  <si>
    <t>高校3年</t>
  </si>
  <si>
    <t>幼稚園1年</t>
  </si>
  <si>
    <t>幼稚園2年</t>
  </si>
  <si>
    <t>幼稚園3年</t>
  </si>
  <si>
    <t>-</t>
  </si>
  <si>
    <t>学年</t>
  </si>
  <si>
    <t>Ｈ23.4.2～</t>
  </si>
  <si>
    <t>※年齢は、1月1日現在、学年は4月1日現在とします。</t>
  </si>
  <si>
    <t>学び希望基金</t>
  </si>
  <si>
    <t>借入予定額</t>
  </si>
  <si>
    <t>大学1年</t>
  </si>
  <si>
    <t>大学2年</t>
  </si>
  <si>
    <t>大学3年</t>
  </si>
  <si>
    <t>大学4年</t>
  </si>
  <si>
    <t>Ｈ3.4.2～Ｈ4.4.1</t>
  </si>
  <si>
    <t>Ｈ2.4.2～Ｈ3.4.1</t>
  </si>
  <si>
    <t>Ｈ1.4.2～Ｈ2.4.1</t>
  </si>
  <si>
    <t>【教育費】</t>
  </si>
  <si>
    <t>教育費／学び希望基金　年齢対応表</t>
  </si>
  <si>
    <t>【学び希望基金】</t>
  </si>
  <si>
    <t>ローン契約内容</t>
  </si>
  <si>
    <t>借入額</t>
  </si>
  <si>
    <t>年利</t>
  </si>
  <si>
    <t>返済回数</t>
  </si>
  <si>
    <t>返済内容</t>
  </si>
  <si>
    <t>返済月額</t>
  </si>
  <si>
    <t>支払総額</t>
  </si>
  <si>
    <t>回数</t>
  </si>
  <si>
    <t>元金相当額</t>
  </si>
  <si>
    <t>利子相当額</t>
  </si>
  <si>
    <t>借入残高</t>
  </si>
  <si>
    <t>返済年額</t>
  </si>
  <si>
    <t>1年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</si>
  <si>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</si>
  <si>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</si>
  <si>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</si>
  <si>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</si>
  <si>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</si>
  <si>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</si>
  <si>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</si>
  <si>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</si>
  <si>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</si>
  <si>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</si>
  <si>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</si>
  <si>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</si>
  <si>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</si>
  <si>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</si>
  <si>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</si>
  <si>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</si>
  <si>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</si>
  <si>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</si>
  <si>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</si>
  <si>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</si>
  <si>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</si>
  <si>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23年</t>
  </si>
  <si>
    <t>24年</t>
  </si>
  <si>
    <t>25年</t>
  </si>
  <si>
    <t>年末借入残高</t>
  </si>
  <si>
    <t>単位：円</t>
  </si>
  <si>
    <t>シート№４　貯蓄残高・ローン残高表</t>
  </si>
  <si>
    <t>記入例</t>
  </si>
  <si>
    <t>シート№５　元利均等ローン返済表</t>
  </si>
  <si>
    <t>シート№６　元利均等ローン返済表</t>
  </si>
  <si>
    <t>新規</t>
  </si>
  <si>
    <t>ローン開始年</t>
  </si>
  <si>
    <t>既存ローン</t>
  </si>
  <si>
    <t>借入額（ローン残高）</t>
  </si>
  <si>
    <t>返済回数（残り回数）</t>
  </si>
  <si>
    <t>H28</t>
  </si>
  <si>
    <t>H24</t>
  </si>
  <si>
    <t>H51</t>
  </si>
  <si>
    <t>シート№７　教育関連費試算表</t>
  </si>
  <si>
    <t>教育費-学び基金</t>
  </si>
  <si>
    <t>その他・　　一時的</t>
  </si>
  <si>
    <t>妻</t>
  </si>
  <si>
    <t>構成</t>
  </si>
  <si>
    <t>我が家の計画</t>
  </si>
  <si>
    <t>第一子</t>
  </si>
  <si>
    <t>第二子</t>
  </si>
  <si>
    <t>第三子</t>
  </si>
  <si>
    <t>その他・一時的</t>
  </si>
  <si>
    <t>いいえの場合</t>
  </si>
  <si>
    <t>家屋</t>
  </si>
  <si>
    <t>土地</t>
  </si>
  <si>
    <t>取得年</t>
  </si>
  <si>
    <t>取得後経過年数</t>
  </si>
  <si>
    <t>経過年数</t>
  </si>
  <si>
    <t>＝F28</t>
  </si>
  <si>
    <t>購入価格</t>
  </si>
  <si>
    <t>×0.7</t>
  </si>
  <si>
    <t>×1／２</t>
  </si>
  <si>
    <t>最後まで</t>
  </si>
  <si>
    <t>建物</t>
  </si>
  <si>
    <t>経過年数</t>
  </si>
  <si>
    <t>×1／6</t>
  </si>
  <si>
    <t>経過年数関係なし</t>
  </si>
  <si>
    <r>
      <t>（固定資産税）　　　</t>
    </r>
    <r>
      <rPr>
        <sz val="10"/>
        <color indexed="10"/>
        <rFont val="ＭＳ Ｐゴシック"/>
        <family val="3"/>
      </rPr>
      <t>※税率は1.4％で算出</t>
    </r>
  </si>
  <si>
    <t>貯蓄残高</t>
  </si>
  <si>
    <t>合計（時価）</t>
  </si>
  <si>
    <t>軽減固定資産税額</t>
  </si>
  <si>
    <t>全体で4年1/2、後2年で1/3減額</t>
  </si>
  <si>
    <t>年間　収支</t>
  </si>
  <si>
    <t>枠に入力してください。</t>
  </si>
  <si>
    <t>収入1</t>
  </si>
  <si>
    <t>収入2</t>
  </si>
  <si>
    <t>シート№２　年間収入・支出集計表</t>
  </si>
  <si>
    <t>収入（「収入1」「収入2」に入力すると、シート1収入欄の左から1～2行目の</t>
  </si>
  <si>
    <t>収入欄にそれぞれ反映します。）</t>
  </si>
  <si>
    <t>※家族の年齢は1月1日現在,学校・学年は4月1日現在のものです。そのため,1月～3月生まれの方の学年は1年遅れて計算しています。教育費・学び基金の金額は,年度分を暦年分に計上しています。</t>
  </si>
  <si>
    <t>※当初の貯蓄残高は相談時のものであり、各年の貯蓄残高、ローン残高は12月末時点です。また、ローン借り入れは1月、返済額は1年分を記載します。</t>
  </si>
  <si>
    <t>※固定資産税の税率は1.4％、課税時期は翌年からとし、評価額は購入価格の70％で固定しています。また、住宅用地に対する特例措置（小規模住宅用地で1/6に減額）、　新築住宅に対する減額（一</t>
  </si>
  <si>
    <t>　般住宅で3年間1/2）を減額しています。東日本大震災により滅失・損壊した家屋の代替家屋取得にかかる固定資産税の減免も適用しています。詳しくは各市町村税務課へお問い合わせください。</t>
  </si>
  <si>
    <t>※教育関連支出は幼稚園から高校までは「自宅・国公立」で塾等の習い事を含みます。また、大学は「自宅・国公立・文系」で授業料と入学金のみです。自宅外の場合の生活費は「その他・一時的」支出</t>
  </si>
  <si>
    <t>※ローンの新規借入れは、同額を融資を受けた年の「その他・一時的」収入に加えてください。</t>
  </si>
  <si>
    <t>支出（既存の全てのローンの支払いはこの欄の支出に入力しないでください）</t>
  </si>
  <si>
    <t>既存</t>
  </si>
  <si>
    <t>新規</t>
  </si>
  <si>
    <t>シート1K18</t>
  </si>
  <si>
    <t>(学び）</t>
  </si>
  <si>
    <t>学び</t>
  </si>
  <si>
    <t>高校までの場合（学び）</t>
  </si>
  <si>
    <t>高校までの場合（教育費）</t>
  </si>
  <si>
    <t>合計</t>
  </si>
  <si>
    <t>-</t>
  </si>
  <si>
    <t>本人</t>
  </si>
  <si>
    <t>※FPからのコメント</t>
  </si>
  <si>
    <t>妻</t>
  </si>
  <si>
    <t>この枠に入力出来ます。</t>
  </si>
  <si>
    <t>夫</t>
  </si>
  <si>
    <t>父母</t>
  </si>
  <si>
    <t>家の復興計画</t>
  </si>
  <si>
    <t>兄弟姉妹</t>
  </si>
  <si>
    <t>祖父母</t>
  </si>
  <si>
    <t>本人</t>
  </si>
  <si>
    <t>妻</t>
  </si>
  <si>
    <t>夫</t>
  </si>
  <si>
    <t>シミュレーションを行うにあたっての留意事項</t>
  </si>
  <si>
    <t>-</t>
  </si>
  <si>
    <t>■家族構成（平成</t>
  </si>
  <si>
    <t>年1月１日現在）</t>
  </si>
  <si>
    <t>子</t>
  </si>
  <si>
    <t>　に適宜入力してください。</t>
  </si>
  <si>
    <t>年齢</t>
  </si>
  <si>
    <t>-学び基金について-</t>
  </si>
  <si>
    <t>大学進学　　　　しますか？</t>
  </si>
  <si>
    <t>※該当がない場合は「-」を選んでください。</t>
  </si>
  <si>
    <t>父母</t>
  </si>
  <si>
    <t>該当しますか？</t>
  </si>
  <si>
    <t>※年齢欄は直接入力してください。</t>
  </si>
  <si>
    <t>兄弟姉妹</t>
  </si>
  <si>
    <t>●　ライフプラン表</t>
  </si>
  <si>
    <t>単位：万円</t>
  </si>
  <si>
    <t>祖父母</t>
  </si>
  <si>
    <t>家族構成</t>
  </si>
  <si>
    <t>ローン</t>
  </si>
  <si>
    <t>既存</t>
  </si>
  <si>
    <t>新規</t>
  </si>
  <si>
    <t>-</t>
  </si>
  <si>
    <t>金利</t>
  </si>
  <si>
    <t>はい</t>
  </si>
  <si>
    <t>返済回数</t>
  </si>
  <si>
    <t>いいえ</t>
  </si>
  <si>
    <t>開始年</t>
  </si>
  <si>
    <t>ライフイベント・具体的アクション</t>
  </si>
  <si>
    <t>学び基金</t>
  </si>
  <si>
    <t>その他・　　一時的</t>
  </si>
  <si>
    <t>住宅関連</t>
  </si>
  <si>
    <t>（内固定資産税）</t>
  </si>
  <si>
    <t>マイカー</t>
  </si>
  <si>
    <t>保険関連</t>
  </si>
  <si>
    <t>ローン返済</t>
  </si>
  <si>
    <t>残高合計</t>
  </si>
  <si>
    <t>長男高校進学</t>
  </si>
  <si>
    <t>いいえ</t>
  </si>
  <si>
    <t>シート№１　ライフプラン表（ＬＰ表）</t>
  </si>
  <si>
    <t>はい</t>
  </si>
  <si>
    <t>-</t>
  </si>
  <si>
    <t>佐藤</t>
  </si>
  <si>
    <t>地元に残って働きたい。</t>
  </si>
  <si>
    <t>なるべく早く正社員になりたい。</t>
  </si>
  <si>
    <t>子どもは大学まで進学させたい。</t>
  </si>
  <si>
    <t>介護になっても、安心して暮らせるように準備したい。</t>
  </si>
  <si>
    <t>長男大学進学・妻も正社員となる</t>
  </si>
  <si>
    <t>私が正社員となる</t>
  </si>
  <si>
    <t>長男就職</t>
  </si>
  <si>
    <t>３年以内に住宅を新築したい。</t>
  </si>
  <si>
    <t>家を新築・支援金300万円受給</t>
  </si>
  <si>
    <t>私が定年退職・第二の職場へ就職</t>
  </si>
  <si>
    <t>第二の職場を退職・年金受給開始・妻退職</t>
  </si>
  <si>
    <t>家を補修</t>
  </si>
  <si>
    <t>また、２人で働くことで、老後の年金もある程度確保できます。</t>
  </si>
  <si>
    <t>現在の手持資金は、長男の大学進学資金として必要となるので、確保しておきましょう。</t>
  </si>
  <si>
    <t>夫婦が正社員を目指し働くことで、自宅を新築しても収支が均衡します。　</t>
  </si>
  <si>
    <t>現在の収入では、介護の状況になった場合、資金的に余裕はありません。別途対策を立てる必要がございます。</t>
  </si>
  <si>
    <t>定期的に生活再建のためのＦＰによる相談会を実施しております。生活の状況が変わった場合、相談願います。</t>
  </si>
  <si>
    <t>岩手県復興局・日本FP協会制作20121022Ver2</t>
  </si>
  <si>
    <t>資金計画</t>
  </si>
  <si>
    <r>
      <rPr>
        <b/>
        <sz val="12"/>
        <rFont val="ＭＳ Ｐゴシック"/>
        <family val="3"/>
      </rPr>
      <t xml:space="preserve">収入（※シート2から入力 学び基金以外）
</t>
    </r>
    <r>
      <rPr>
        <b/>
        <sz val="8"/>
        <rFont val="ＭＳ Ｐゴシック"/>
        <family val="3"/>
      </rPr>
      <t>2年目以降は収入の変更に応じて直接入力してください。</t>
    </r>
  </si>
  <si>
    <r>
      <rPr>
        <b/>
        <sz val="12"/>
        <rFont val="ＭＳ Ｐゴシック"/>
        <family val="3"/>
      </rPr>
      <t>支出</t>
    </r>
    <r>
      <rPr>
        <b/>
        <sz val="14"/>
        <rFont val="ＭＳ Ｐゴシック"/>
        <family val="3"/>
      </rPr>
      <t xml:space="preserve">
</t>
    </r>
    <r>
      <rPr>
        <b/>
        <sz val="8"/>
        <rFont val="ＭＳ Ｐゴシック"/>
        <family val="3"/>
      </rPr>
      <t>（※シート2から入力）
2年目以降は支出の変更に応じて直接入力してください</t>
    </r>
  </si>
  <si>
    <r>
      <rPr>
        <b/>
        <sz val="12"/>
        <rFont val="ＭＳ Ｐゴシック"/>
        <family val="3"/>
      </rPr>
      <t>支出（※シート2から入力）</t>
    </r>
    <r>
      <rPr>
        <b/>
        <sz val="14"/>
        <rFont val="ＭＳ Ｐゴシック"/>
        <family val="3"/>
      </rPr>
      <t xml:space="preserve">
</t>
    </r>
    <r>
      <rPr>
        <b/>
        <sz val="8"/>
        <rFont val="ＭＳ Ｐゴシック"/>
        <family val="3"/>
      </rPr>
      <t>2年目以降は支出の変更に応じて直接入力してください</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</si>
</sst>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0000_ "/>
    <numFmt numFmtId="179" formatCode="0.00000_ "/>
    <numFmt numFmtId="180" formatCode="0.0000_ "/>
    <numFmt numFmtId="181" formatCode="0.000_ "/>
    <numFmt numFmtId="182" formatCode="0.00_ "/>
    <numFmt numFmtId="183" formatCode="0.0_ "/>
    <numFmt numFmtId="184" formatCode="#,##0.0;[Red]\-#,##0.0"/>
    <numFmt numFmtId="185" formatCode="#,##0.000;[Red]\-#,##0.000"/>
    <numFmt numFmtId="186" formatCode="#,##0.0000;[Red]\-#,##0.0000"/>
    <numFmt numFmtId="187" formatCode="#,##0.00000;[Red]\-#,##0.00000"/>
    <numFmt numFmtId="188" formatCode="#,##0.000000;[Red]\-#,##0.000000"/>
    <numFmt numFmtId="189" formatCode="#,##0.0000000;[Red]\-#,##0.0000000"/>
    <numFmt numFmtId="190" formatCode="#,##0.00000000;[Red]\-#,##0.00000000"/>
    <numFmt numFmtId="191" formatCode="#,##0.000000000;[Red]\-#,##0.000000000"/>
    <numFmt numFmtId="192" formatCode="#,##0.0000000000;[Red]\-#,##0.0000000000"/>
    <numFmt numFmtId="193" formatCode="#,##0.00000000000;[Red]\-#,##0.00000000000"/>
    <numFmt numFmtId="194" formatCode="#,##0.000000000000;[Red]\-#,##0.000000000000"/>
    <numFmt numFmtId="195" formatCode="#,##0.0000000000000;[Red]\-#,##0.0000000000000"/>
    <numFmt numFmtId="196" formatCode="#,##0.00000000000000;[Red]\-#,##0.00000000000000"/>
    <numFmt numFmtId="197" formatCode="\ "/>
    <numFmt numFmtId="198" formatCode="[&lt;=999]000;[&lt;=9999]000\-00;000\-0000"/>
    <numFmt numFmtId="199" formatCode="General&quot;回&quot;"/>
    <numFmt numFmtId="200" formatCode="General&quot;年&quot;"/>
    <numFmt numFmtId="201" formatCode="&quot;Yes&quot;;&quot;Yes&quot;;&quot;No&quot;"/>
    <numFmt numFmtId="202" formatCode="&quot;True&quot;;&quot;True&quot;;&quot;False&quot;"/>
    <numFmt numFmtId="203" formatCode="&quot;On&quot;;&quot;On&quot;;&quot;Off&quot;"/>
    <numFmt numFmtId="204" formatCode="[$€-2]\ #,##0.00_);[Red]\([$€-2]\ #,##0.00\)"/>
    <numFmt numFmtId="205" formatCode="&quot;H&quot;General"/>
    <numFmt numFmtId="206" formatCode="0.0%"/>
    <numFmt numFmtId="207" formatCode="General&quot;万円&quot;"/>
    <numFmt numFmtId="208" formatCode="0.0_);[Red]\(0.0\)"/>
    <numFmt numFmtId="209" formatCode="0.00_);[Red]\(0.00\)"/>
    <numFmt numFmtId="210" formatCode="0_);[Red]\(0\)"/>
    <numFmt numFmtId="211" formatCode="0;_"/>
    <numFmt numFmtId="212" formatCode="[$-411]ggge&quot;年&quot;m&quot;月&quot;d&quot;日&quot;;@"/>
    <numFmt numFmtId="213" formatCode="[$-411]ge\.m\.d;@"/>
    <numFmt numFmtId="214" formatCode="[$-F800]dddd\,\ mmmm\ dd\,\ yyyy"/>
    <numFmt numFmtId="215" formatCode="[$-411]ggge&quot;年&quot;"/>
  </numFmts>
  <fonts count="7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1"/>
      <color indexed="56"/>
      <name val="ＭＳ Ｐゴシック"/>
      <family val="3"/>
    </font>
    <font>
      <b/>
      <sz val="11"/>
      <color indexed="8"/>
      <name val="ＭＳ Ｐゴシック"/>
      <family val="3"/>
    </font>
    <font>
      <b/>
      <sz val="12"/>
      <color indexed="8"/>
      <name val="ＭＳ Ｐゴシック"/>
      <family val="3"/>
    </font>
    <font>
      <b/>
      <sz val="8"/>
      <color indexed="8"/>
      <name val="ＭＳ Ｐゴシック"/>
      <family val="3"/>
    </font>
    <font>
      <b/>
      <sz val="14"/>
      <color indexed="8"/>
      <name val="ＭＳ Ｐゴシック"/>
      <family val="3"/>
    </font>
    <font>
      <sz val="11"/>
      <name val="ＭＳ Ｐゴシック"/>
      <family val="3"/>
    </font>
    <font>
      <b/>
      <sz val="8"/>
      <name val="ＭＳ Ｐゴシック"/>
      <family val="3"/>
    </font>
    <font>
      <b/>
      <sz val="6"/>
      <name val="ＭＳ Ｐゴシック"/>
      <family val="3"/>
    </font>
    <font>
      <b/>
      <sz val="11"/>
      <name val="ＭＳ Ｐゴシック"/>
      <family val="3"/>
    </font>
    <font>
      <b/>
      <sz val="16"/>
      <name val="HG創英角ｺﾞｼｯｸUB"/>
      <family val="3"/>
    </font>
    <font>
      <b/>
      <sz val="9"/>
      <color indexed="8"/>
      <name val="ＭＳ Ｐゴシック"/>
      <family val="3"/>
    </font>
    <font>
      <sz val="9"/>
      <color indexed="8"/>
      <name val="ＭＳ Ｐゴシック"/>
      <family val="3"/>
    </font>
    <font>
      <b/>
      <sz val="6"/>
      <color indexed="8"/>
      <name val="ＭＳ Ｐゴシック"/>
      <family val="3"/>
    </font>
    <font>
      <b/>
      <sz val="10"/>
      <color indexed="8"/>
      <name val="ＭＳ Ｐゴシック"/>
      <family val="3"/>
    </font>
    <font>
      <sz val="10"/>
      <color indexed="10"/>
      <name val="ＭＳ Ｐゴシック"/>
      <family val="3"/>
    </font>
    <font>
      <b/>
      <sz val="10"/>
      <name val="ＭＳ Ｐゴシック"/>
      <family val="3"/>
    </font>
    <font>
      <b/>
      <sz val="14"/>
      <name val="ＭＳ Ｐゴシック"/>
      <family val="3"/>
    </font>
    <font>
      <sz val="11"/>
      <color indexed="9"/>
      <name val="ＭＳ Ｐゴシック"/>
      <family val="3"/>
    </font>
    <font>
      <sz val="11"/>
      <color indexed="10"/>
      <name val="ＭＳ Ｐゴシック"/>
      <family val="3"/>
    </font>
    <font>
      <sz val="11"/>
      <color indexed="62"/>
      <name val="ＭＳ Ｐゴシック"/>
      <family val="3"/>
    </font>
    <font>
      <sz val="11"/>
      <color indexed="44"/>
      <name val="ＭＳ Ｐゴシック"/>
      <family val="3"/>
    </font>
    <font>
      <sz val="36"/>
      <color indexed="8"/>
      <name val="ＭＳ Ｐゴシック"/>
      <family val="3"/>
    </font>
    <font>
      <sz val="18"/>
      <color indexed="8"/>
      <name val="ＭＳ Ｐゴシック"/>
      <family val="3"/>
    </font>
    <font>
      <sz val="18"/>
      <color indexed="10"/>
      <name val="ＭＳ Ｐゴシック"/>
      <family val="3"/>
    </font>
    <font>
      <sz val="11"/>
      <color indexed="30"/>
      <name val="ＭＳ Ｐゴシック"/>
      <family val="3"/>
    </font>
    <font>
      <b/>
      <sz val="11"/>
      <color indexed="62"/>
      <name val="ＭＳ Ｐゴシック"/>
      <family val="3"/>
    </font>
    <font>
      <sz val="8"/>
      <color indexed="8"/>
      <name val="ＭＳ Ｐゴシック"/>
      <family val="3"/>
    </font>
    <font>
      <sz val="6"/>
      <color indexed="8"/>
      <name val="ＭＳ Ｐゴシック"/>
      <family val="3"/>
    </font>
    <font>
      <b/>
      <sz val="8"/>
      <color indexed="62"/>
      <name val="ＭＳ Ｐゴシック"/>
      <family val="3"/>
    </font>
    <font>
      <sz val="24"/>
      <color indexed="8"/>
      <name val="ＭＳ Ｐゴシック"/>
      <family val="3"/>
    </font>
    <font>
      <sz val="22"/>
      <color indexed="8"/>
      <name val="ＭＳ Ｐゴシック"/>
      <family val="3"/>
    </font>
    <font>
      <b/>
      <sz val="11"/>
      <color indexed="9"/>
      <name val="ＭＳ Ｐゴシック"/>
      <family val="3"/>
    </font>
    <font>
      <sz val="8"/>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b/>
      <sz val="16"/>
      <color indexed="9"/>
      <name val="ＭＳ Ｐゴシック"/>
      <family val="3"/>
    </font>
    <font>
      <sz val="8"/>
      <color indexed="8"/>
      <name val="Calibri"/>
      <family val="2"/>
    </font>
    <font>
      <b/>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s>
  <borders count="115">
    <border>
      <left/>
      <right/>
      <top/>
      <bottom/>
      <diagonal/>
    </border>
    <border>
      <left style="thin"/>
      <right style="thin"/>
      <top/>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top style="thin"/>
      <bottom style="thin"/>
    </border>
    <border>
      <left style="thin"/>
      <right/>
      <top/>
      <bottom style="thin"/>
    </border>
    <border>
      <left/>
      <right style="thin"/>
      <top style="thin"/>
      <bottom style="thin"/>
    </border>
    <border>
      <left style="thin"/>
      <right style="thin"/>
      <top style="thin"/>
      <bottom/>
    </border>
    <border>
      <left style="medium"/>
      <right style="thin"/>
      <top style="thin"/>
      <bottom style="thin"/>
    </border>
    <border>
      <left style="thin"/>
      <right style="thin"/>
      <top/>
      <bottom/>
    </border>
    <border>
      <left style="double"/>
      <right/>
      <top style="double"/>
      <bottom style="double"/>
    </border>
    <border>
      <left/>
      <right style="double"/>
      <top style="double"/>
      <bottom style="double"/>
    </border>
    <border>
      <left style="double"/>
      <right/>
      <top style="double"/>
      <bottom/>
    </border>
    <border>
      <left/>
      <right style="double"/>
      <top style="double"/>
      <bottom/>
    </border>
    <border>
      <left style="double"/>
      <right/>
      <top/>
      <bottom style="double"/>
    </border>
    <border>
      <left/>
      <right style="double"/>
      <top/>
      <bottom style="double"/>
    </border>
    <border>
      <left style="medium"/>
      <right style="medium"/>
      <top style="medium"/>
      <bottom style="double"/>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right style="thin"/>
      <top style="thin"/>
      <bottom style="medium"/>
    </border>
    <border>
      <left style="thin"/>
      <right style="thin"/>
      <top style="thin"/>
      <bottom style="medium"/>
    </border>
    <border>
      <left style="medium"/>
      <right style="thin"/>
      <top style="thin"/>
      <bottom style="medium"/>
    </border>
    <border>
      <left/>
      <right style="thin"/>
      <top>
        <color indexed="63"/>
      </top>
      <bottom style="double"/>
    </border>
    <border>
      <left>
        <color indexed="63"/>
      </left>
      <right style="medium"/>
      <top>
        <color indexed="63"/>
      </top>
      <bottom style="double"/>
    </border>
    <border>
      <left>
        <color indexed="63"/>
      </left>
      <right>
        <color indexed="63"/>
      </right>
      <top style="double"/>
      <bottom style="double"/>
    </border>
    <border>
      <left/>
      <right/>
      <top style="thin"/>
      <bottom/>
    </border>
    <border>
      <left style="medium"/>
      <right/>
      <top/>
      <bottom/>
    </border>
    <border>
      <left/>
      <right/>
      <top/>
      <bottom style="medium"/>
    </border>
    <border>
      <left/>
      <right/>
      <top style="medium"/>
      <bottom/>
    </border>
    <border>
      <left/>
      <right style="medium"/>
      <top style="medium"/>
      <bottom/>
    </border>
    <border>
      <left style="medium"/>
      <right/>
      <top/>
      <bottom style="medium"/>
    </border>
    <border>
      <left style="medium"/>
      <right style="thin"/>
      <top/>
      <bottom>
        <color indexed="63"/>
      </bottom>
    </border>
    <border>
      <left/>
      <right style="medium"/>
      <top/>
      <bottom/>
    </border>
    <border>
      <left/>
      <right style="medium"/>
      <top/>
      <bottom style="medium"/>
    </border>
    <border>
      <left style="thin"/>
      <right style="thin"/>
      <top>
        <color indexed="63"/>
      </top>
      <bottom style="double"/>
    </border>
    <border>
      <left style="thin"/>
      <right style="thin"/>
      <top style="medium"/>
      <bottom style="double"/>
    </border>
    <border>
      <left>
        <color indexed="63"/>
      </left>
      <right>
        <color indexed="63"/>
      </right>
      <top>
        <color indexed="63"/>
      </top>
      <bottom style="double"/>
    </border>
    <border>
      <left style="thin"/>
      <right>
        <color indexed="63"/>
      </right>
      <top>
        <color indexed="63"/>
      </top>
      <bottom style="double"/>
    </border>
    <border>
      <left style="medium"/>
      <right style="thin"/>
      <top/>
      <bottom style="double"/>
    </border>
    <border>
      <left style="hair"/>
      <right style="thin"/>
      <top style="medium"/>
      <bottom style="double"/>
    </border>
    <border>
      <left style="thin"/>
      <right style="medium"/>
      <top>
        <color indexed="63"/>
      </top>
      <bottom style="double"/>
    </border>
    <border>
      <left style="thin"/>
      <right/>
      <top/>
      <bottom style="medium"/>
    </border>
    <border>
      <left style="thin"/>
      <right style="medium"/>
      <top/>
      <bottom style="thin"/>
    </border>
    <border>
      <left style="medium"/>
      <right/>
      <top/>
      <bottom style="thin"/>
    </border>
    <border>
      <left style="medium"/>
      <right/>
      <top style="thin"/>
      <bottom style="thin"/>
    </border>
    <border>
      <left style="medium"/>
      <right style="thin"/>
      <top/>
      <bottom style="thin"/>
    </border>
    <border>
      <left/>
      <right style="thin"/>
      <top/>
      <bottom style="thin"/>
    </border>
    <border>
      <left>
        <color indexed="63"/>
      </left>
      <right style="medium"/>
      <top>
        <color indexed="63"/>
      </top>
      <bottom style="thin"/>
    </border>
    <border>
      <left style="medium"/>
      <right style="thin"/>
      <top/>
      <bottom style="medium"/>
    </border>
    <border>
      <left/>
      <right style="thin"/>
      <top/>
      <bottom style="medium"/>
    </border>
    <border>
      <left style="thin"/>
      <right style="medium"/>
      <top style="thin"/>
      <bottom style="thin"/>
    </border>
    <border>
      <left style="thin"/>
      <right style="thin"/>
      <top style="thin"/>
      <bottom style="double"/>
    </border>
    <border>
      <left/>
      <right/>
      <top style="thin"/>
      <bottom style="thin"/>
    </border>
    <border>
      <left style="medium"/>
      <right style="thin"/>
      <top style="medium"/>
      <bottom style="medium"/>
    </border>
    <border>
      <left style="thin"/>
      <right style="medium"/>
      <top style="medium"/>
      <bottom style="medium"/>
    </border>
    <border>
      <left/>
      <right/>
      <top/>
      <bottom style="thin"/>
    </border>
    <border>
      <left style="thin"/>
      <right style="medium"/>
      <top/>
      <bottom style="medium"/>
    </border>
    <border>
      <left style="medium"/>
      <right style="thin"/>
      <top style="medium"/>
      <bottom/>
    </border>
    <border>
      <left style="thin"/>
      <right style="medium"/>
      <top style="medium"/>
      <bottom/>
    </border>
    <border>
      <left style="thin"/>
      <right style="thin"/>
      <top style="medium"/>
      <bottom style="thin"/>
    </border>
    <border>
      <left style="medium"/>
      <right style="medium"/>
      <top/>
      <bottom style="thin"/>
    </border>
    <border>
      <left style="thin"/>
      <right style="medium"/>
      <top style="thin"/>
      <bottom/>
    </border>
    <border>
      <left style="thin"/>
      <right style="medium"/>
      <top/>
      <bottom/>
    </border>
    <border>
      <left style="thin"/>
      <right style="medium"/>
      <top style="thin"/>
      <bottom style="double"/>
    </border>
    <border>
      <left style="medium"/>
      <right/>
      <top style="thin"/>
      <bottom style="medium"/>
    </border>
    <border>
      <left style="medium"/>
      <right/>
      <top style="medium"/>
      <bottom/>
    </border>
    <border>
      <left style="thin"/>
      <right/>
      <top/>
      <bottom/>
    </border>
    <border>
      <left style="thin"/>
      <right style="thin"/>
      <top style="medium"/>
      <bottom/>
    </border>
    <border>
      <left/>
      <right style="thin"/>
      <top style="thin"/>
      <bottom/>
    </border>
    <border>
      <left style="thin"/>
      <right/>
      <top style="thin"/>
      <bottom/>
    </border>
    <border>
      <left/>
      <right style="medium"/>
      <top style="thin"/>
      <bottom/>
    </border>
    <border>
      <left style="thin"/>
      <right/>
      <top style="medium"/>
      <bottom/>
    </border>
    <border>
      <left style="medium"/>
      <right style="thin"/>
      <top style="medium"/>
      <bottom style="thin"/>
    </border>
    <border>
      <left style="thin"/>
      <right style="medium"/>
      <top style="medium"/>
      <bottom style="thin"/>
    </border>
    <border>
      <left style="medium"/>
      <right style="thin"/>
      <top style="thin"/>
      <bottom style="double"/>
    </border>
    <border>
      <left style="thin"/>
      <right>
        <color indexed="63"/>
      </right>
      <top style="thin"/>
      <bottom style="double"/>
    </border>
    <border>
      <left style="medium"/>
      <right style="thin"/>
      <top style="double"/>
      <bottom style="double"/>
    </border>
    <border>
      <left style="hair"/>
      <right style="thin"/>
      <top style="double"/>
      <bottom style="thin"/>
    </border>
    <border>
      <left style="hair"/>
      <right style="thin"/>
      <top style="thin"/>
      <bottom style="thin"/>
    </border>
    <border>
      <left style="thin"/>
      <right>
        <color indexed="63"/>
      </right>
      <top style="thin"/>
      <bottom style="medium"/>
    </border>
    <border>
      <left style="hair"/>
      <right style="thin"/>
      <top style="thin"/>
      <bottom style="medium"/>
    </border>
    <border>
      <left style="thin"/>
      <right style="medium"/>
      <top style="thin"/>
      <bottom style="medium"/>
    </border>
    <border>
      <left/>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top style="thin"/>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color indexed="63"/>
      </top>
      <bottom style="double"/>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bottom style="medium"/>
    </border>
    <border>
      <left/>
      <right style="thin"/>
      <top style="medium"/>
      <bottom/>
    </border>
    <border>
      <left style="medium"/>
      <right style="medium"/>
      <top/>
      <bottom style="medium"/>
    </border>
    <border>
      <left style="thin"/>
      <right style="thin"/>
      <top style="double"/>
      <bottom>
        <color indexed="63"/>
      </bottom>
    </border>
    <border>
      <left style="thin"/>
      <right style="medium"/>
      <top style="double"/>
      <bottom>
        <color indexed="63"/>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12" fillId="25" borderId="1" applyNumberFormat="0" applyFont="0" applyFill="0" applyBorder="0" applyAlignment="0">
      <protection hidden="1"/>
    </xf>
    <xf numFmtId="0" fontId="53" fillId="0" borderId="0" applyNumberFormat="0" applyFill="0" applyBorder="0" applyAlignment="0" applyProtection="0"/>
    <xf numFmtId="0" fontId="54" fillId="26" borderId="2"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3" applyNumberFormat="0" applyFont="0" applyAlignment="0" applyProtection="0"/>
    <xf numFmtId="0" fontId="57" fillId="0" borderId="4" applyNumberFormat="0" applyFill="0" applyAlignment="0" applyProtection="0"/>
    <xf numFmtId="0" fontId="58" fillId="29" borderId="0" applyNumberFormat="0" applyBorder="0" applyAlignment="0" applyProtection="0"/>
    <xf numFmtId="0" fontId="59" fillId="30" borderId="5"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0" borderId="10"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5" applyNumberFormat="0" applyAlignment="0" applyProtection="0"/>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502">
    <xf numFmtId="0" fontId="0" fillId="0" borderId="0" xfId="0" applyFont="1" applyAlignment="1">
      <alignment vertical="center"/>
    </xf>
    <xf numFmtId="0" fontId="0" fillId="0" borderId="11" xfId="0" applyBorder="1" applyAlignment="1">
      <alignment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0" fillId="0" borderId="12" xfId="0" applyBorder="1" applyAlignment="1">
      <alignment horizontal="center" vertical="center"/>
    </xf>
    <xf numFmtId="0" fontId="0" fillId="0" borderId="12" xfId="0" applyFill="1" applyBorder="1" applyAlignment="1">
      <alignment horizontal="center" vertical="center"/>
    </xf>
    <xf numFmtId="0" fontId="0" fillId="0" borderId="12" xfId="0" applyBorder="1" applyAlignment="1">
      <alignment vertical="center"/>
    </xf>
    <xf numFmtId="0" fontId="9" fillId="33" borderId="12" xfId="0" applyFont="1" applyFill="1" applyBorder="1" applyAlignment="1">
      <alignment vertical="center"/>
    </xf>
    <xf numFmtId="0" fontId="9" fillId="0" borderId="12" xfId="0" applyFont="1" applyFill="1" applyBorder="1" applyAlignment="1">
      <alignment vertical="center"/>
    </xf>
    <xf numFmtId="0" fontId="5" fillId="0" borderId="11" xfId="0" applyFont="1" applyBorder="1" applyAlignment="1">
      <alignment horizontal="right" vertical="center"/>
    </xf>
    <xf numFmtId="0" fontId="0" fillId="33" borderId="13" xfId="0" applyFill="1" applyBorder="1" applyAlignment="1">
      <alignment horizontal="center" vertical="center"/>
    </xf>
    <xf numFmtId="0" fontId="0" fillId="0" borderId="13" xfId="0" applyFill="1" applyBorder="1" applyAlignment="1">
      <alignment vertical="center"/>
    </xf>
    <xf numFmtId="0" fontId="0" fillId="34" borderId="11" xfId="0" applyFill="1" applyBorder="1" applyAlignment="1">
      <alignment horizontal="right" vertical="center"/>
    </xf>
    <xf numFmtId="0" fontId="0" fillId="34" borderId="11" xfId="0" applyFill="1" applyBorder="1" applyAlignment="1">
      <alignment vertical="center"/>
    </xf>
    <xf numFmtId="0" fontId="0" fillId="0" borderId="13" xfId="0" applyBorder="1" applyAlignment="1">
      <alignment vertical="center"/>
    </xf>
    <xf numFmtId="0" fontId="5" fillId="0" borderId="14" xfId="0" applyFont="1" applyFill="1" applyBorder="1" applyAlignment="1">
      <alignment horizontal="center" vertical="center"/>
    </xf>
    <xf numFmtId="0" fontId="5" fillId="0" borderId="15" xfId="0" applyFont="1" applyBorder="1" applyAlignment="1">
      <alignment horizontal="right" vertical="center"/>
    </xf>
    <xf numFmtId="38" fontId="0" fillId="0" borderId="11" xfId="0" applyNumberFormat="1" applyBorder="1" applyAlignment="1">
      <alignment vertical="center"/>
    </xf>
    <xf numFmtId="38" fontId="5" fillId="0" borderId="11" xfId="50" applyFont="1" applyBorder="1" applyAlignment="1">
      <alignment horizontal="center" vertical="center"/>
    </xf>
    <xf numFmtId="0" fontId="5" fillId="10" borderId="11" xfId="0" applyFont="1" applyFill="1" applyBorder="1" applyAlignment="1">
      <alignment horizontal="center" vertical="center"/>
    </xf>
    <xf numFmtId="0" fontId="5" fillId="35" borderId="11" xfId="0" applyFont="1" applyFill="1" applyBorder="1" applyAlignment="1">
      <alignment horizontal="center" vertical="center"/>
    </xf>
    <xf numFmtId="0" fontId="5" fillId="0" borderId="13" xfId="0" applyFont="1" applyFill="1" applyBorder="1" applyAlignment="1">
      <alignment horizontal="center" vertical="center"/>
    </xf>
    <xf numFmtId="0" fontId="9" fillId="33" borderId="13" xfId="0" applyFont="1" applyFill="1" applyBorder="1" applyAlignment="1">
      <alignment horizontal="center" vertical="center"/>
    </xf>
    <xf numFmtId="0" fontId="0" fillId="33" borderId="15" xfId="0" applyFill="1" applyBorder="1" applyAlignment="1">
      <alignment horizontal="center" vertical="center"/>
    </xf>
    <xf numFmtId="0" fontId="0" fillId="34" borderId="15" xfId="0" applyFill="1" applyBorder="1" applyAlignment="1">
      <alignment vertical="center"/>
    </xf>
    <xf numFmtId="38" fontId="0" fillId="0" borderId="13" xfId="0" applyNumberFormat="1" applyBorder="1" applyAlignment="1">
      <alignment vertical="center"/>
    </xf>
    <xf numFmtId="0" fontId="5" fillId="35" borderId="13" xfId="0" applyFont="1" applyFill="1" applyBorder="1" applyAlignment="1">
      <alignment horizontal="center" vertical="center"/>
    </xf>
    <xf numFmtId="38" fontId="1" fillId="0" borderId="11" xfId="50" applyFont="1" applyBorder="1" applyAlignment="1">
      <alignment vertical="center"/>
    </xf>
    <xf numFmtId="10" fontId="1" fillId="0" borderId="11" xfId="43" applyNumberFormat="1" applyFont="1" applyBorder="1" applyAlignment="1">
      <alignment vertical="center"/>
    </xf>
    <xf numFmtId="38" fontId="1" fillId="0" borderId="0" xfId="50" applyFont="1" applyAlignment="1">
      <alignment vertical="center"/>
    </xf>
    <xf numFmtId="38" fontId="1" fillId="0" borderId="16" xfId="50" applyFont="1" applyBorder="1" applyAlignment="1">
      <alignment vertical="center"/>
    </xf>
    <xf numFmtId="176" fontId="0" fillId="0" borderId="11" xfId="0" applyNumberFormat="1" applyBorder="1" applyAlignment="1">
      <alignment vertical="center"/>
    </xf>
    <xf numFmtId="0" fontId="5" fillId="0" borderId="17" xfId="0" applyFont="1" applyBorder="1" applyAlignment="1">
      <alignment horizontal="right" vertical="center"/>
    </xf>
    <xf numFmtId="0" fontId="0" fillId="25" borderId="0" xfId="0" applyFill="1" applyAlignment="1">
      <alignment vertical="center"/>
    </xf>
    <xf numFmtId="0" fontId="0" fillId="25" borderId="0" xfId="0" applyFill="1" applyAlignment="1">
      <alignment horizontal="center" vertical="center"/>
    </xf>
    <xf numFmtId="0" fontId="0" fillId="25" borderId="0" xfId="0" applyFill="1" applyBorder="1" applyAlignment="1">
      <alignment vertical="center"/>
    </xf>
    <xf numFmtId="0" fontId="0" fillId="25" borderId="0" xfId="0" applyFill="1" applyBorder="1" applyAlignment="1">
      <alignment horizontal="center" vertical="center"/>
    </xf>
    <xf numFmtId="0" fontId="5" fillId="25" borderId="0" xfId="0" applyFont="1" applyFill="1" applyAlignment="1">
      <alignment vertical="center"/>
    </xf>
    <xf numFmtId="0" fontId="0" fillId="25" borderId="0" xfId="0" applyFill="1" applyBorder="1" applyAlignment="1">
      <alignment horizontal="right" vertical="center"/>
    </xf>
    <xf numFmtId="0" fontId="0" fillId="25" borderId="0" xfId="0" applyFill="1" applyAlignment="1">
      <alignment horizontal="right" vertical="center"/>
    </xf>
    <xf numFmtId="0" fontId="5" fillId="25" borderId="0" xfId="0" applyFont="1" applyFill="1" applyAlignment="1">
      <alignment horizontal="left" vertical="center"/>
    </xf>
    <xf numFmtId="0" fontId="9" fillId="25" borderId="0" xfId="0" applyFont="1" applyFill="1" applyBorder="1" applyAlignment="1">
      <alignment horizontal="center" vertical="center"/>
    </xf>
    <xf numFmtId="0" fontId="0" fillId="25" borderId="16" xfId="0" applyFill="1" applyBorder="1" applyAlignment="1">
      <alignment vertical="center"/>
    </xf>
    <xf numFmtId="0" fontId="0" fillId="25" borderId="18" xfId="0" applyFill="1" applyBorder="1" applyAlignment="1">
      <alignment vertical="center"/>
    </xf>
    <xf numFmtId="0" fontId="0" fillId="25" borderId="1" xfId="0" applyFill="1" applyBorder="1" applyAlignment="1">
      <alignment vertical="center"/>
    </xf>
    <xf numFmtId="10" fontId="1" fillId="25" borderId="0" xfId="43" applyNumberFormat="1" applyFont="1" applyFill="1" applyBorder="1" applyAlignment="1">
      <alignment vertical="center"/>
    </xf>
    <xf numFmtId="0" fontId="0" fillId="25" borderId="19" xfId="0" applyFill="1" applyBorder="1" applyAlignment="1">
      <alignment vertical="center"/>
    </xf>
    <xf numFmtId="0" fontId="0" fillId="25" borderId="20" xfId="0" applyFill="1" applyBorder="1" applyAlignment="1">
      <alignment vertical="center"/>
    </xf>
    <xf numFmtId="0" fontId="0" fillId="25" borderId="0" xfId="0" applyFill="1" applyAlignment="1">
      <alignment horizontal="left" vertical="center"/>
    </xf>
    <xf numFmtId="0" fontId="0" fillId="25" borderId="11" xfId="0" applyFill="1" applyBorder="1" applyAlignment="1">
      <alignment vertical="center"/>
    </xf>
    <xf numFmtId="0" fontId="0" fillId="25" borderId="11" xfId="0" applyFill="1" applyBorder="1" applyAlignment="1">
      <alignment horizontal="center" vertical="center"/>
    </xf>
    <xf numFmtId="0" fontId="0" fillId="25" borderId="11" xfId="0" applyFill="1" applyBorder="1" applyAlignment="1">
      <alignment vertical="center"/>
    </xf>
    <xf numFmtId="0" fontId="3" fillId="25" borderId="0" xfId="0" applyFont="1" applyFill="1" applyAlignment="1">
      <alignment vertical="center"/>
    </xf>
    <xf numFmtId="0" fontId="0" fillId="25" borderId="21" xfId="0" applyFill="1" applyBorder="1" applyAlignment="1">
      <alignment horizontal="center" vertical="center"/>
    </xf>
    <xf numFmtId="0" fontId="0" fillId="25" borderId="22" xfId="0" applyFill="1" applyBorder="1" applyAlignment="1">
      <alignment horizontal="center" vertical="center"/>
    </xf>
    <xf numFmtId="0" fontId="0" fillId="25" borderId="12" xfId="0" applyFill="1" applyBorder="1" applyAlignment="1">
      <alignment horizontal="center" vertical="center"/>
    </xf>
    <xf numFmtId="0" fontId="0" fillId="25" borderId="23" xfId="0" applyFill="1" applyBorder="1" applyAlignment="1">
      <alignment horizontal="center" vertical="center"/>
    </xf>
    <xf numFmtId="0" fontId="0" fillId="25" borderId="24" xfId="0" applyFill="1" applyBorder="1" applyAlignment="1">
      <alignment horizontal="center" vertical="center"/>
    </xf>
    <xf numFmtId="0" fontId="0" fillId="25" borderId="12" xfId="0" applyFill="1" applyBorder="1" applyAlignment="1">
      <alignment vertical="center"/>
    </xf>
    <xf numFmtId="0" fontId="9" fillId="25" borderId="12" xfId="0" applyFont="1" applyFill="1" applyBorder="1" applyAlignment="1">
      <alignment vertical="center"/>
    </xf>
    <xf numFmtId="0" fontId="0" fillId="25" borderId="11" xfId="0" applyFill="1" applyBorder="1" applyAlignment="1">
      <alignment horizontal="center" vertical="center" wrapText="1"/>
    </xf>
    <xf numFmtId="38" fontId="1" fillId="25" borderId="0" xfId="50" applyFont="1" applyFill="1" applyAlignment="1">
      <alignment vertical="center"/>
    </xf>
    <xf numFmtId="0" fontId="0" fillId="34" borderId="25" xfId="0" applyFill="1" applyBorder="1" applyAlignment="1">
      <alignment horizontal="right" vertical="center"/>
    </xf>
    <xf numFmtId="0" fontId="0" fillId="0" borderId="0" xfId="0" applyFill="1" applyAlignment="1">
      <alignment horizontal="right" vertical="center"/>
    </xf>
    <xf numFmtId="0" fontId="0" fillId="0" borderId="12" xfId="0" applyFill="1" applyBorder="1" applyAlignment="1">
      <alignment horizontal="right" vertical="center"/>
    </xf>
    <xf numFmtId="0" fontId="9" fillId="33" borderId="12" xfId="0" applyFont="1" applyFill="1" applyBorder="1" applyAlignment="1">
      <alignment horizontal="right" vertical="center"/>
    </xf>
    <xf numFmtId="0" fontId="0" fillId="25" borderId="12" xfId="0" applyFill="1" applyBorder="1" applyAlignment="1">
      <alignment horizontal="right" vertical="center"/>
    </xf>
    <xf numFmtId="0" fontId="9" fillId="25" borderId="12" xfId="0" applyFont="1" applyFill="1" applyBorder="1" applyAlignment="1">
      <alignment horizontal="right" vertical="center"/>
    </xf>
    <xf numFmtId="0" fontId="0" fillId="0" borderId="0" xfId="0" applyAlignment="1">
      <alignment horizontal="right" vertical="center"/>
    </xf>
    <xf numFmtId="0" fontId="0" fillId="34" borderId="11" xfId="0" applyNumberFormat="1" applyFill="1" applyBorder="1" applyAlignment="1">
      <alignment horizontal="right" vertical="center"/>
    </xf>
    <xf numFmtId="38" fontId="1" fillId="25" borderId="0" xfId="50" applyFont="1" applyFill="1" applyAlignment="1">
      <alignment horizontal="right" vertical="center"/>
    </xf>
    <xf numFmtId="38" fontId="9" fillId="33" borderId="26" xfId="50" applyFont="1" applyFill="1" applyBorder="1" applyAlignment="1">
      <alignment horizontal="center" vertical="center"/>
    </xf>
    <xf numFmtId="38" fontId="1" fillId="34" borderId="27" xfId="50" applyFont="1" applyFill="1" applyBorder="1" applyAlignment="1">
      <alignment vertical="center"/>
    </xf>
    <xf numFmtId="38" fontId="1" fillId="34" borderId="28" xfId="50" applyFont="1" applyFill="1" applyBorder="1" applyAlignment="1">
      <alignment vertical="center"/>
    </xf>
    <xf numFmtId="38" fontId="5" fillId="0" borderId="29" xfId="50" applyFont="1" applyFill="1" applyBorder="1" applyAlignment="1">
      <alignment vertical="center"/>
    </xf>
    <xf numFmtId="38" fontId="1" fillId="33" borderId="26" xfId="50" applyFont="1" applyFill="1" applyBorder="1" applyAlignment="1">
      <alignment horizontal="center" vertical="center"/>
    </xf>
    <xf numFmtId="38" fontId="5" fillId="0" borderId="29" xfId="50" applyFont="1" applyBorder="1" applyAlignment="1">
      <alignment horizontal="right" vertical="center"/>
    </xf>
    <xf numFmtId="0" fontId="0" fillId="34" borderId="15" xfId="0" applyFill="1" applyBorder="1" applyAlignment="1">
      <alignment horizontal="right" vertical="center"/>
    </xf>
    <xf numFmtId="38" fontId="0" fillId="0" borderId="11" xfId="0" applyNumberFormat="1" applyBorder="1" applyAlignment="1">
      <alignment vertical="center"/>
    </xf>
    <xf numFmtId="177" fontId="0" fillId="0" borderId="0" xfId="0" applyNumberFormat="1" applyBorder="1" applyAlignment="1">
      <alignment horizontal="center" vertical="center"/>
    </xf>
    <xf numFmtId="38" fontId="0" fillId="25" borderId="15" xfId="0" applyNumberFormat="1" applyFill="1" applyBorder="1" applyAlignment="1">
      <alignment horizontal="center" vertical="center"/>
    </xf>
    <xf numFmtId="0" fontId="0" fillId="34" borderId="25" xfId="0" applyNumberFormat="1" applyFill="1" applyBorder="1" applyAlignment="1">
      <alignment horizontal="right" vertical="center"/>
    </xf>
    <xf numFmtId="0" fontId="21" fillId="25" borderId="0" xfId="0" applyFont="1" applyFill="1" applyBorder="1" applyAlignment="1">
      <alignment vertical="center"/>
    </xf>
    <xf numFmtId="0" fontId="21" fillId="25" borderId="0" xfId="0" applyNumberFormat="1" applyFont="1" applyFill="1" applyBorder="1" applyAlignment="1">
      <alignment horizontal="right" vertical="center"/>
    </xf>
    <xf numFmtId="0" fontId="21" fillId="25" borderId="0" xfId="0" applyFont="1" applyFill="1" applyBorder="1" applyAlignment="1">
      <alignment horizontal="right" vertical="center"/>
    </xf>
    <xf numFmtId="0" fontId="22" fillId="25" borderId="11" xfId="0" applyFont="1" applyFill="1" applyBorder="1" applyAlignment="1">
      <alignment vertical="center"/>
    </xf>
    <xf numFmtId="0" fontId="0" fillId="0" borderId="0" xfId="0" applyBorder="1" applyAlignment="1">
      <alignment horizontal="center" vertical="center" wrapText="1"/>
    </xf>
    <xf numFmtId="177" fontId="9" fillId="0" borderId="0" xfId="0" applyNumberFormat="1" applyFont="1" applyFill="1" applyBorder="1" applyAlignment="1">
      <alignment horizontal="center" vertical="center"/>
    </xf>
    <xf numFmtId="0" fontId="0" fillId="25" borderId="0" xfId="0" applyFill="1" applyAlignment="1" applyProtection="1">
      <alignment horizontal="center" vertical="center"/>
      <protection/>
    </xf>
    <xf numFmtId="0" fontId="0" fillId="25" borderId="0" xfId="0" applyFill="1" applyAlignment="1" applyProtection="1">
      <alignment vertical="center"/>
      <protection locked="0"/>
    </xf>
    <xf numFmtId="0" fontId="0" fillId="25" borderId="0" xfId="0" applyFill="1" applyBorder="1" applyAlignment="1" applyProtection="1">
      <alignment vertical="center"/>
      <protection locked="0"/>
    </xf>
    <xf numFmtId="0" fontId="0" fillId="0" borderId="0" xfId="0" applyFill="1" applyAlignment="1" applyProtection="1">
      <alignment horizontal="center" vertical="center"/>
      <protection/>
    </xf>
    <xf numFmtId="0" fontId="0" fillId="0" borderId="0" xfId="0" applyFill="1" applyBorder="1" applyAlignment="1" applyProtection="1">
      <alignment horizontal="center" vertical="center"/>
      <protection/>
    </xf>
    <xf numFmtId="0" fontId="24" fillId="0" borderId="0" xfId="0" applyFont="1" applyFill="1" applyAlignment="1" applyProtection="1">
      <alignment horizontal="right" vertical="center"/>
      <protection/>
    </xf>
    <xf numFmtId="0" fontId="0" fillId="36" borderId="15" xfId="0" applyFont="1" applyFill="1" applyBorder="1" applyAlignment="1" applyProtection="1">
      <alignment horizontal="right" vertical="center"/>
      <protection locked="0"/>
    </xf>
    <xf numFmtId="0" fontId="0" fillId="36" borderId="11" xfId="0" applyFont="1" applyFill="1" applyBorder="1" applyAlignment="1" applyProtection="1">
      <alignment horizontal="right" vertical="center"/>
      <protection locked="0"/>
    </xf>
    <xf numFmtId="0" fontId="0" fillId="36" borderId="30" xfId="0" applyFont="1" applyFill="1" applyBorder="1" applyAlignment="1" applyProtection="1">
      <alignment horizontal="right" vertical="center"/>
      <protection locked="0"/>
    </xf>
    <xf numFmtId="0" fontId="0" fillId="36" borderId="31" xfId="0" applyFont="1" applyFill="1" applyBorder="1" applyAlignment="1" applyProtection="1">
      <alignment horizontal="right" vertical="center"/>
      <protection locked="0"/>
    </xf>
    <xf numFmtId="0" fontId="0" fillId="36" borderId="17" xfId="0" applyFill="1" applyBorder="1" applyAlignment="1" applyProtection="1">
      <alignment horizontal="right" vertical="center"/>
      <protection locked="0"/>
    </xf>
    <xf numFmtId="0" fontId="0" fillId="36" borderId="32" xfId="0" applyFill="1" applyBorder="1" applyAlignment="1" applyProtection="1">
      <alignment horizontal="right" vertical="center"/>
      <protection locked="0"/>
    </xf>
    <xf numFmtId="0" fontId="0" fillId="36" borderId="15" xfId="0" applyFill="1" applyBorder="1" applyAlignment="1" applyProtection="1">
      <alignment horizontal="right" vertical="center"/>
      <protection locked="0"/>
    </xf>
    <xf numFmtId="0" fontId="0" fillId="36" borderId="30" xfId="0" applyFill="1" applyBorder="1" applyAlignment="1" applyProtection="1">
      <alignment horizontal="right" vertical="center"/>
      <protection locked="0"/>
    </xf>
    <xf numFmtId="38" fontId="9" fillId="36" borderId="33" xfId="50" applyFont="1" applyFill="1" applyBorder="1" applyAlignment="1" applyProtection="1">
      <alignment horizontal="right" vertical="center" wrapText="1"/>
      <protection locked="0"/>
    </xf>
    <xf numFmtId="38" fontId="9" fillId="36" borderId="34" xfId="50" applyFont="1" applyFill="1" applyBorder="1" applyAlignment="1" applyProtection="1">
      <alignment horizontal="right" vertical="center" wrapText="1"/>
      <protection locked="0"/>
    </xf>
    <xf numFmtId="38" fontId="9" fillId="36" borderId="35" xfId="0" applyNumberFormat="1" applyFont="1" applyFill="1" applyBorder="1" applyAlignment="1" applyProtection="1">
      <alignment horizontal="right" vertical="center" wrapText="1"/>
      <protection locked="0"/>
    </xf>
    <xf numFmtId="0" fontId="25" fillId="25" borderId="36" xfId="0" applyFont="1" applyFill="1" applyBorder="1" applyAlignment="1" applyProtection="1">
      <alignment horizontal="center" vertical="center"/>
      <protection/>
    </xf>
    <xf numFmtId="0" fontId="0" fillId="25" borderId="0" xfId="0" applyFill="1" applyBorder="1" applyAlignment="1" applyProtection="1">
      <alignment horizontal="center" vertical="center"/>
      <protection/>
    </xf>
    <xf numFmtId="0" fontId="0" fillId="25" borderId="0" xfId="0" applyFill="1" applyAlignment="1" applyProtection="1">
      <alignment horizontal="right" vertical="center"/>
      <protection/>
    </xf>
    <xf numFmtId="0" fontId="24" fillId="25" borderId="37" xfId="0" applyFont="1" applyFill="1" applyBorder="1" applyAlignment="1" applyProtection="1">
      <alignment horizontal="right" vertical="center"/>
      <protection/>
    </xf>
    <xf numFmtId="0" fontId="26" fillId="25" borderId="38" xfId="0" applyFont="1" applyFill="1" applyBorder="1" applyAlignment="1" applyProtection="1">
      <alignment horizontal="center" vertical="center"/>
      <protection/>
    </xf>
    <xf numFmtId="0" fontId="26" fillId="25" borderId="39" xfId="0" applyFont="1" applyFill="1" applyBorder="1" applyAlignment="1" applyProtection="1">
      <alignment horizontal="center" vertical="center"/>
      <protection/>
    </xf>
    <xf numFmtId="0" fontId="27" fillId="25" borderId="39" xfId="0" applyFont="1" applyFill="1" applyBorder="1" applyAlignment="1" applyProtection="1">
      <alignment horizontal="center" vertical="center"/>
      <protection/>
    </xf>
    <xf numFmtId="0" fontId="22" fillId="25" borderId="39" xfId="0" applyFont="1" applyFill="1" applyBorder="1" applyAlignment="1" applyProtection="1">
      <alignment horizontal="center" vertical="center"/>
      <protection/>
    </xf>
    <xf numFmtId="0" fontId="26" fillId="25" borderId="0" xfId="0" applyFont="1" applyFill="1" applyBorder="1" applyAlignment="1" applyProtection="1">
      <alignment horizontal="center" vertical="center"/>
      <protection/>
    </xf>
    <xf numFmtId="0" fontId="27" fillId="25" borderId="0" xfId="0" applyFont="1" applyFill="1" applyBorder="1" applyAlignment="1" applyProtection="1">
      <alignment horizontal="center" vertical="center"/>
      <protection/>
    </xf>
    <xf numFmtId="0" fontId="22" fillId="25" borderId="0" xfId="0" applyFont="1" applyFill="1" applyBorder="1" applyAlignment="1" applyProtection="1">
      <alignment horizontal="center" vertical="center"/>
      <protection/>
    </xf>
    <xf numFmtId="0" fontId="27" fillId="25" borderId="38" xfId="0" applyFont="1" applyFill="1" applyBorder="1" applyAlignment="1" applyProtection="1">
      <alignment horizontal="center" vertical="center"/>
      <protection/>
    </xf>
    <xf numFmtId="0" fontId="0" fillId="25" borderId="40" xfId="0" applyFill="1" applyBorder="1" applyAlignment="1" applyProtection="1">
      <alignment horizontal="center" vertical="center"/>
      <protection/>
    </xf>
    <xf numFmtId="0" fontId="24" fillId="25" borderId="0" xfId="0" applyFont="1" applyFill="1" applyBorder="1" applyAlignment="1" applyProtection="1">
      <alignment horizontal="center" vertical="center"/>
      <protection/>
    </xf>
    <xf numFmtId="0" fontId="28" fillId="25" borderId="0" xfId="0" applyFont="1" applyFill="1" applyBorder="1" applyAlignment="1" applyProtection="1">
      <alignment horizontal="center" vertical="center"/>
      <protection/>
    </xf>
    <xf numFmtId="38" fontId="28" fillId="25" borderId="0" xfId="50" applyFont="1" applyFill="1" applyBorder="1" applyAlignment="1" applyProtection="1">
      <alignment horizontal="center" vertical="center"/>
      <protection/>
    </xf>
    <xf numFmtId="0" fontId="24" fillId="25" borderId="41" xfId="0" applyFont="1" applyFill="1" applyBorder="1" applyAlignment="1" applyProtection="1">
      <alignment horizontal="right" vertical="center"/>
      <protection/>
    </xf>
    <xf numFmtId="0" fontId="29" fillId="2" borderId="0" xfId="0" applyFont="1" applyFill="1" applyBorder="1" applyAlignment="1" applyProtection="1">
      <alignment horizontal="center" vertical="center"/>
      <protection/>
    </xf>
    <xf numFmtId="0" fontId="0" fillId="2" borderId="0" xfId="0" applyFill="1" applyBorder="1" applyAlignment="1" applyProtection="1">
      <alignment horizontal="center" vertical="center"/>
      <protection/>
    </xf>
    <xf numFmtId="0" fontId="0" fillId="2" borderId="37" xfId="0" applyFill="1" applyBorder="1" applyAlignment="1" applyProtection="1">
      <alignment horizontal="center" vertical="center"/>
      <protection/>
    </xf>
    <xf numFmtId="58" fontId="3" fillId="2" borderId="0" xfId="0" applyNumberFormat="1" applyFont="1" applyFill="1" applyBorder="1" applyAlignment="1" applyProtection="1">
      <alignment horizontal="center" vertical="center"/>
      <protection/>
    </xf>
    <xf numFmtId="0" fontId="0" fillId="36" borderId="1" xfId="0" applyFill="1" applyBorder="1" applyAlignment="1" applyProtection="1">
      <alignment horizontal="center" vertical="center"/>
      <protection/>
    </xf>
    <xf numFmtId="0" fontId="22" fillId="2" borderId="40" xfId="0" applyFont="1" applyFill="1" applyBorder="1" applyAlignment="1" applyProtection="1">
      <alignment horizontal="center" vertical="center"/>
      <protection/>
    </xf>
    <xf numFmtId="0" fontId="0" fillId="2" borderId="42" xfId="0" applyFill="1" applyBorder="1" applyAlignment="1" applyProtection="1">
      <alignment horizontal="center" vertical="center"/>
      <protection/>
    </xf>
    <xf numFmtId="0" fontId="22" fillId="2" borderId="43" xfId="0" applyFont="1" applyFill="1" applyBorder="1" applyAlignment="1" applyProtection="1">
      <alignment horizontal="center" vertical="center"/>
      <protection/>
    </xf>
    <xf numFmtId="0" fontId="0" fillId="2" borderId="38" xfId="0" applyFill="1" applyBorder="1" applyAlignment="1" applyProtection="1">
      <alignment horizontal="center" vertical="center"/>
      <protection/>
    </xf>
    <xf numFmtId="0" fontId="22" fillId="2" borderId="44" xfId="0" applyFont="1" applyFill="1" applyBorder="1" applyAlignment="1" applyProtection="1">
      <alignment horizontal="center" vertical="center"/>
      <protection/>
    </xf>
    <xf numFmtId="0" fontId="0" fillId="2" borderId="14" xfId="0" applyFill="1" applyBorder="1" applyAlignment="1" applyProtection="1">
      <alignment horizontal="center" vertical="center"/>
      <protection/>
    </xf>
    <xf numFmtId="0" fontId="7" fillId="2" borderId="33" xfId="0" applyFont="1" applyFill="1" applyBorder="1" applyAlignment="1" applyProtection="1">
      <alignment horizontal="center" vertical="center"/>
      <protection/>
    </xf>
    <xf numFmtId="0" fontId="7" fillId="2" borderId="45" xfId="0" applyFont="1" applyFill="1" applyBorder="1" applyAlignment="1" applyProtection="1">
      <alignment horizontal="center" vertical="center"/>
      <protection/>
    </xf>
    <xf numFmtId="0" fontId="11" fillId="2" borderId="46" xfId="0" applyFont="1" applyFill="1" applyBorder="1" applyAlignment="1" applyProtection="1">
      <alignment horizontal="center" vertical="center" wrapText="1"/>
      <protection/>
    </xf>
    <xf numFmtId="0" fontId="7" fillId="2" borderId="47" xfId="0" applyFont="1" applyFill="1" applyBorder="1" applyAlignment="1" applyProtection="1">
      <alignment horizontal="center" vertical="center" wrapText="1"/>
      <protection/>
    </xf>
    <xf numFmtId="0" fontId="7" fillId="2" borderId="48" xfId="0" applyFont="1" applyFill="1" applyBorder="1" applyAlignment="1" applyProtection="1">
      <alignment horizontal="center" vertical="center"/>
      <protection/>
    </xf>
    <xf numFmtId="0" fontId="7" fillId="2" borderId="49" xfId="0" applyFont="1" applyFill="1" applyBorder="1" applyAlignment="1" applyProtection="1">
      <alignment horizontal="center" vertical="center"/>
      <protection/>
    </xf>
    <xf numFmtId="0" fontId="14" fillId="2" borderId="47" xfId="0" applyFont="1" applyFill="1" applyBorder="1" applyAlignment="1" applyProtection="1">
      <alignment horizontal="center" vertical="center"/>
      <protection/>
    </xf>
    <xf numFmtId="0" fontId="16" fillId="2" borderId="50" xfId="0" applyFont="1" applyFill="1" applyBorder="1" applyAlignment="1" applyProtection="1">
      <alignment horizontal="center" vertical="center"/>
      <protection/>
    </xf>
    <xf numFmtId="0" fontId="7" fillId="2" borderId="45" xfId="0" applyFont="1" applyFill="1" applyBorder="1" applyAlignment="1" applyProtection="1">
      <alignment horizontal="center" vertical="center" wrapText="1"/>
      <protection/>
    </xf>
    <xf numFmtId="0" fontId="7" fillId="2" borderId="51" xfId="0" applyFont="1" applyFill="1" applyBorder="1" applyAlignment="1" applyProtection="1">
      <alignment horizontal="center" vertical="center"/>
      <protection/>
    </xf>
    <xf numFmtId="177" fontId="0" fillId="2" borderId="14" xfId="0" applyNumberFormat="1" applyFill="1" applyBorder="1" applyAlignment="1" applyProtection="1">
      <alignment horizontal="right" vertical="center"/>
      <protection/>
    </xf>
    <xf numFmtId="177" fontId="0" fillId="2" borderId="52" xfId="0" applyNumberFormat="1" applyFill="1" applyBorder="1" applyAlignment="1" applyProtection="1">
      <alignment horizontal="right" vertical="center"/>
      <protection/>
    </xf>
    <xf numFmtId="0" fontId="0" fillId="2" borderId="1" xfId="0" applyFont="1" applyFill="1" applyBorder="1" applyAlignment="1" applyProtection="1">
      <alignment horizontal="right" vertical="center"/>
      <protection/>
    </xf>
    <xf numFmtId="0" fontId="0" fillId="2" borderId="15" xfId="0" applyFont="1" applyFill="1" applyBorder="1" applyAlignment="1" applyProtection="1">
      <alignment horizontal="right" vertical="center"/>
      <protection/>
    </xf>
    <xf numFmtId="0" fontId="0" fillId="2" borderId="53" xfId="0" applyFont="1" applyFill="1" applyBorder="1" applyAlignment="1" applyProtection="1">
      <alignment horizontal="right" vertical="center"/>
      <protection/>
    </xf>
    <xf numFmtId="0" fontId="0" fillId="2" borderId="14" xfId="0" applyFont="1" applyFill="1" applyBorder="1" applyAlignment="1" applyProtection="1">
      <alignment horizontal="right" vertical="center"/>
      <protection/>
    </xf>
    <xf numFmtId="0" fontId="0" fillId="2" borderId="52" xfId="0" applyFont="1" applyFill="1" applyBorder="1" applyAlignment="1" applyProtection="1">
      <alignment horizontal="right" vertical="center"/>
      <protection/>
    </xf>
    <xf numFmtId="0" fontId="0" fillId="2" borderId="31" xfId="0" applyFont="1" applyFill="1" applyBorder="1" applyAlignment="1" applyProtection="1">
      <alignment horizontal="right" vertical="center"/>
      <protection/>
    </xf>
    <xf numFmtId="205" fontId="0" fillId="2" borderId="54" xfId="0" applyNumberFormat="1" applyFont="1" applyFill="1" applyBorder="1" applyAlignment="1" applyProtection="1">
      <alignment horizontal="right" vertical="center"/>
      <protection/>
    </xf>
    <xf numFmtId="205" fontId="0" fillId="2" borderId="55" xfId="0" applyNumberFormat="1" applyFont="1" applyFill="1" applyBorder="1" applyAlignment="1" applyProtection="1">
      <alignment horizontal="right" vertical="center"/>
      <protection/>
    </xf>
    <xf numFmtId="0" fontId="0" fillId="2" borderId="56" xfId="0" applyFill="1" applyBorder="1" applyAlignment="1" applyProtection="1">
      <alignment horizontal="right" vertical="center"/>
      <protection/>
    </xf>
    <xf numFmtId="0" fontId="0" fillId="2" borderId="57" xfId="0" applyFill="1" applyBorder="1" applyAlignment="1" applyProtection="1">
      <alignment horizontal="right" vertical="center"/>
      <protection/>
    </xf>
    <xf numFmtId="0" fontId="0" fillId="2" borderId="58" xfId="0" applyFill="1" applyBorder="1" applyAlignment="1" applyProtection="1">
      <alignment horizontal="right" vertical="center"/>
      <protection/>
    </xf>
    <xf numFmtId="0" fontId="0" fillId="2" borderId="59" xfId="0" applyFill="1" applyBorder="1" applyAlignment="1" applyProtection="1">
      <alignment horizontal="right" vertical="center"/>
      <protection/>
    </xf>
    <xf numFmtId="0" fontId="0" fillId="2" borderId="60" xfId="0" applyFill="1" applyBorder="1" applyAlignment="1" applyProtection="1">
      <alignment horizontal="right" vertical="center"/>
      <protection/>
    </xf>
    <xf numFmtId="0" fontId="0" fillId="2" borderId="44" xfId="0" applyFill="1" applyBorder="1" applyAlignment="1" applyProtection="1">
      <alignment horizontal="right" vertical="center"/>
      <protection/>
    </xf>
    <xf numFmtId="0" fontId="0" fillId="25" borderId="39" xfId="0" applyFill="1" applyBorder="1" applyAlignment="1" applyProtection="1">
      <alignment vertical="center"/>
      <protection locked="0"/>
    </xf>
    <xf numFmtId="0" fontId="0" fillId="25" borderId="40" xfId="0" applyFill="1" applyBorder="1" applyAlignment="1" applyProtection="1">
      <alignment vertical="center"/>
      <protection locked="0"/>
    </xf>
    <xf numFmtId="0" fontId="5" fillId="25" borderId="0" xfId="0" applyFont="1" applyFill="1" applyBorder="1" applyAlignment="1" applyProtection="1">
      <alignment vertical="center"/>
      <protection locked="0"/>
    </xf>
    <xf numFmtId="0" fontId="0" fillId="25" borderId="0" xfId="0" applyFill="1" applyAlignment="1" applyProtection="1">
      <alignment vertical="center"/>
      <protection/>
    </xf>
    <xf numFmtId="0" fontId="0" fillId="25" borderId="37" xfId="0" applyFill="1" applyBorder="1" applyAlignment="1" applyProtection="1">
      <alignment vertical="center"/>
      <protection/>
    </xf>
    <xf numFmtId="0" fontId="0" fillId="25" borderId="0" xfId="0" applyFill="1" applyBorder="1" applyAlignment="1" applyProtection="1">
      <alignment vertical="center"/>
      <protection/>
    </xf>
    <xf numFmtId="0" fontId="6" fillId="25" borderId="0" xfId="0" applyFont="1" applyFill="1" applyBorder="1" applyAlignment="1" applyProtection="1">
      <alignment vertical="center"/>
      <protection/>
    </xf>
    <xf numFmtId="38" fontId="1" fillId="25" borderId="0" xfId="50" applyFont="1" applyFill="1" applyBorder="1" applyAlignment="1" applyProtection="1">
      <alignment vertical="center"/>
      <protection locked="0"/>
    </xf>
    <xf numFmtId="0" fontId="0" fillId="25" borderId="43" xfId="0" applyFill="1" applyBorder="1" applyAlignment="1" applyProtection="1">
      <alignment vertical="center"/>
      <protection/>
    </xf>
    <xf numFmtId="0" fontId="0" fillId="25" borderId="37" xfId="0" applyFill="1" applyBorder="1" applyAlignment="1" applyProtection="1">
      <alignment vertical="center"/>
      <protection locked="0"/>
    </xf>
    <xf numFmtId="0" fontId="5" fillId="25" borderId="0" xfId="0" applyFont="1" applyFill="1" applyBorder="1" applyAlignment="1" applyProtection="1">
      <alignment vertical="center"/>
      <protection locked="0"/>
    </xf>
    <xf numFmtId="0" fontId="0" fillId="25" borderId="43" xfId="0" applyFill="1" applyBorder="1" applyAlignment="1" applyProtection="1">
      <alignment horizontal="right" vertical="center"/>
      <protection locked="0"/>
    </xf>
    <xf numFmtId="0" fontId="5" fillId="25" borderId="0" xfId="0" applyFont="1" applyFill="1" applyBorder="1" applyAlignment="1" applyProtection="1">
      <alignment vertical="center" wrapText="1"/>
      <protection locked="0"/>
    </xf>
    <xf numFmtId="0" fontId="30" fillId="25" borderId="0" xfId="0" applyFont="1" applyFill="1" applyBorder="1" applyAlignment="1" applyProtection="1">
      <alignment vertical="center" wrapText="1"/>
      <protection locked="0"/>
    </xf>
    <xf numFmtId="0" fontId="0" fillId="25" borderId="0" xfId="0" applyFill="1" applyBorder="1" applyAlignment="1" applyProtection="1">
      <alignment vertical="center" wrapText="1"/>
      <protection locked="0"/>
    </xf>
    <xf numFmtId="0" fontId="0" fillId="25" borderId="0" xfId="0" applyFill="1" applyBorder="1" applyAlignment="1" applyProtection="1">
      <alignment horizontal="center" vertical="center" wrapText="1"/>
      <protection locked="0"/>
    </xf>
    <xf numFmtId="3" fontId="0" fillId="25" borderId="0" xfId="0" applyNumberFormat="1" applyFill="1" applyBorder="1" applyAlignment="1" applyProtection="1">
      <alignment horizontal="right" vertical="center" wrapText="1"/>
      <protection locked="0"/>
    </xf>
    <xf numFmtId="0" fontId="0" fillId="25" borderId="43" xfId="0" applyFill="1" applyBorder="1" applyAlignment="1" applyProtection="1">
      <alignment vertical="center"/>
      <protection locked="0"/>
    </xf>
    <xf numFmtId="0" fontId="0" fillId="25" borderId="0" xfId="0" applyFill="1" applyBorder="1" applyAlignment="1" applyProtection="1">
      <alignment vertical="center"/>
      <protection locked="0"/>
    </xf>
    <xf numFmtId="0" fontId="0" fillId="25" borderId="0" xfId="0" applyFill="1" applyBorder="1" applyAlignment="1" applyProtection="1">
      <alignment horizontal="right" vertical="center"/>
      <protection locked="0"/>
    </xf>
    <xf numFmtId="0" fontId="0" fillId="25" borderId="0" xfId="0" applyFill="1" applyAlignment="1" applyProtection="1">
      <alignment horizontal="center"/>
      <protection locked="0"/>
    </xf>
    <xf numFmtId="0" fontId="0" fillId="25" borderId="0" xfId="0" applyFill="1" applyAlignment="1">
      <alignment/>
    </xf>
    <xf numFmtId="0" fontId="0" fillId="25" borderId="0" xfId="0" applyFill="1" applyAlignment="1">
      <alignment horizontal="center"/>
    </xf>
    <xf numFmtId="0" fontId="22" fillId="25" borderId="0" xfId="0" applyFont="1" applyFill="1" applyBorder="1" applyAlignment="1" applyProtection="1">
      <alignment horizontal="center" vertical="center"/>
      <protection locked="0"/>
    </xf>
    <xf numFmtId="0" fontId="0" fillId="25" borderId="0" xfId="0" applyFill="1" applyBorder="1" applyAlignment="1" applyProtection="1">
      <alignment horizontal="center" vertical="center"/>
      <protection locked="0"/>
    </xf>
    <xf numFmtId="207" fontId="5" fillId="25" borderId="0" xfId="0" applyNumberFormat="1" applyFont="1" applyFill="1" applyBorder="1" applyAlignment="1" applyProtection="1">
      <alignment horizontal="center" vertical="center"/>
      <protection locked="0"/>
    </xf>
    <xf numFmtId="206" fontId="5" fillId="25" borderId="0" xfId="43" applyNumberFormat="1" applyFont="1" applyFill="1" applyBorder="1" applyAlignment="1" applyProtection="1">
      <alignment horizontal="center" vertical="center"/>
      <protection locked="0"/>
    </xf>
    <xf numFmtId="0" fontId="0" fillId="25" borderId="0" xfId="0" applyFill="1" applyAlignment="1" applyProtection="1" quotePrefix="1">
      <alignment vertical="center"/>
      <protection locked="0"/>
    </xf>
    <xf numFmtId="57" fontId="0" fillId="25" borderId="0" xfId="0" applyNumberFormat="1" applyFill="1" applyAlignment="1" applyProtection="1">
      <alignment vertical="center"/>
      <protection locked="0"/>
    </xf>
    <xf numFmtId="215" fontId="0" fillId="25" borderId="0" xfId="0" applyNumberFormat="1" applyFill="1" applyAlignment="1" applyProtection="1">
      <alignment vertical="center"/>
      <protection locked="0"/>
    </xf>
    <xf numFmtId="176" fontId="0" fillId="25" borderId="0" xfId="0" applyNumberFormat="1" applyFill="1" applyAlignment="1" applyProtection="1">
      <alignment vertical="center"/>
      <protection locked="0"/>
    </xf>
    <xf numFmtId="0" fontId="0" fillId="25" borderId="0" xfId="0" applyFill="1" applyAlignment="1" applyProtection="1">
      <alignment horizontal="left"/>
      <protection locked="0"/>
    </xf>
    <xf numFmtId="0" fontId="0" fillId="25" borderId="0" xfId="0" applyFill="1" applyAlignment="1" applyProtection="1">
      <alignment/>
      <protection locked="0"/>
    </xf>
    <xf numFmtId="0" fontId="0" fillId="25" borderId="0" xfId="0" applyFill="1" applyAlignment="1" applyProtection="1">
      <alignment horizontal="center" vertical="center"/>
      <protection locked="0"/>
    </xf>
    <xf numFmtId="0" fontId="6" fillId="25" borderId="43" xfId="0" applyFont="1" applyFill="1" applyBorder="1" applyAlignment="1" applyProtection="1">
      <alignment horizontal="right" vertical="center"/>
      <protection/>
    </xf>
    <xf numFmtId="0" fontId="0" fillId="25" borderId="41" xfId="0" applyFill="1" applyBorder="1" applyAlignment="1" applyProtection="1">
      <alignment vertical="center"/>
      <protection/>
    </xf>
    <xf numFmtId="0" fontId="0" fillId="25" borderId="38" xfId="0" applyFill="1" applyBorder="1" applyAlignment="1" applyProtection="1">
      <alignment vertical="center"/>
      <protection/>
    </xf>
    <xf numFmtId="0" fontId="5" fillId="25" borderId="38" xfId="0" applyFont="1" applyFill="1" applyBorder="1" applyAlignment="1" applyProtection="1">
      <alignment horizontal="center" vertical="center"/>
      <protection/>
    </xf>
    <xf numFmtId="0" fontId="6" fillId="25" borderId="44" xfId="0" applyFont="1" applyFill="1" applyBorder="1" applyAlignment="1" applyProtection="1">
      <alignment horizontal="right" vertical="center"/>
      <protection/>
    </xf>
    <xf numFmtId="0" fontId="0" fillId="2" borderId="11" xfId="0" applyFill="1" applyBorder="1" applyAlignment="1" applyProtection="1">
      <alignment vertical="center"/>
      <protection/>
    </xf>
    <xf numFmtId="0" fontId="0" fillId="2" borderId="11" xfId="0" applyFill="1" applyBorder="1" applyAlignment="1" applyProtection="1">
      <alignment horizontal="center" vertical="center"/>
      <protection/>
    </xf>
    <xf numFmtId="0" fontId="0" fillId="2" borderId="11" xfId="0" applyFill="1" applyBorder="1" applyAlignment="1" applyProtection="1" quotePrefix="1">
      <alignment horizontal="center" vertical="center"/>
      <protection/>
    </xf>
    <xf numFmtId="0" fontId="0" fillId="2" borderId="61" xfId="0" applyFill="1" applyBorder="1" applyAlignment="1" applyProtection="1" quotePrefix="1">
      <alignment horizontal="center" vertical="center" wrapText="1"/>
      <protection/>
    </xf>
    <xf numFmtId="0" fontId="0" fillId="2" borderId="61" xfId="0" applyFill="1" applyBorder="1" applyAlignment="1" applyProtection="1">
      <alignment horizontal="center" vertical="center"/>
      <protection/>
    </xf>
    <xf numFmtId="0" fontId="0" fillId="36" borderId="11" xfId="0" applyFill="1" applyBorder="1" applyAlignment="1" applyProtection="1">
      <alignment horizontal="right" vertical="center"/>
      <protection locked="0"/>
    </xf>
    <xf numFmtId="0" fontId="0" fillId="36" borderId="11" xfId="0" applyFill="1" applyBorder="1" applyAlignment="1" applyProtection="1">
      <alignment vertical="center"/>
      <protection locked="0"/>
    </xf>
    <xf numFmtId="0" fontId="0" fillId="36" borderId="16" xfId="0" applyFill="1" applyBorder="1" applyAlignment="1" applyProtection="1">
      <alignment horizontal="right" vertical="center"/>
      <protection locked="0"/>
    </xf>
    <xf numFmtId="0" fontId="0" fillId="36" borderId="16" xfId="0" applyFill="1" applyBorder="1" applyAlignment="1" applyProtection="1">
      <alignment vertical="center"/>
      <protection locked="0"/>
    </xf>
    <xf numFmtId="0" fontId="0" fillId="36" borderId="18" xfId="0" applyFill="1" applyBorder="1" applyAlignment="1" applyProtection="1">
      <alignment horizontal="center" vertical="center"/>
      <protection locked="0"/>
    </xf>
    <xf numFmtId="0" fontId="0" fillId="36" borderId="62" xfId="0" applyFill="1" applyBorder="1" applyAlignment="1" applyProtection="1">
      <alignment vertical="center"/>
      <protection locked="0"/>
    </xf>
    <xf numFmtId="0" fontId="0" fillId="36" borderId="62" xfId="0" applyFill="1" applyBorder="1" applyAlignment="1" applyProtection="1">
      <alignment horizontal="center" vertical="center"/>
      <protection locked="0"/>
    </xf>
    <xf numFmtId="176" fontId="0" fillId="36" borderId="1" xfId="0" applyNumberFormat="1" applyFill="1" applyBorder="1" applyAlignment="1" applyProtection="1">
      <alignment vertical="center" wrapText="1"/>
      <protection locked="0"/>
    </xf>
    <xf numFmtId="176" fontId="0" fillId="36" borderId="11" xfId="0" applyNumberFormat="1" applyFill="1" applyBorder="1" applyAlignment="1" applyProtection="1">
      <alignment vertical="center" wrapText="1"/>
      <protection locked="0"/>
    </xf>
    <xf numFmtId="0" fontId="5" fillId="36" borderId="1" xfId="0" applyFont="1" applyFill="1" applyBorder="1" applyAlignment="1" applyProtection="1">
      <alignment horizontal="center" vertical="center"/>
      <protection locked="0"/>
    </xf>
    <xf numFmtId="0" fontId="5" fillId="36" borderId="11" xfId="0" applyFont="1" applyFill="1" applyBorder="1" applyAlignment="1" applyProtection="1">
      <alignment horizontal="center" vertical="center"/>
      <protection locked="0"/>
    </xf>
    <xf numFmtId="0" fontId="0" fillId="36" borderId="63" xfId="0" applyFill="1" applyBorder="1" applyAlignment="1" applyProtection="1">
      <alignment vertical="center"/>
      <protection locked="0"/>
    </xf>
    <xf numFmtId="0" fontId="0" fillId="36"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36" borderId="1" xfId="0" applyFill="1" applyBorder="1" applyAlignment="1" applyProtection="1">
      <alignment horizontal="right" vertical="center"/>
      <protection locked="0"/>
    </xf>
    <xf numFmtId="0" fontId="0" fillId="25" borderId="42"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63" xfId="0" applyFill="1" applyBorder="1" applyAlignment="1" applyProtection="1">
      <alignment vertical="center"/>
      <protection/>
    </xf>
    <xf numFmtId="0" fontId="5" fillId="2" borderId="64" xfId="0" applyFont="1" applyFill="1" applyBorder="1" applyAlignment="1" applyProtection="1">
      <alignment horizontal="center" vertical="center"/>
      <protection/>
    </xf>
    <xf numFmtId="0" fontId="5" fillId="2" borderId="65" xfId="0" applyFont="1" applyFill="1" applyBorder="1" applyAlignment="1" applyProtection="1">
      <alignment horizontal="right" vertical="center"/>
      <protection/>
    </xf>
    <xf numFmtId="0" fontId="0" fillId="2" borderId="14" xfId="0" applyFill="1" applyBorder="1" applyAlignment="1" applyProtection="1">
      <alignment vertical="center"/>
      <protection locked="0"/>
    </xf>
    <xf numFmtId="0" fontId="22" fillId="2" borderId="1" xfId="0" applyFont="1" applyFill="1" applyBorder="1" applyAlignment="1" applyProtection="1">
      <alignment vertical="center" wrapText="1"/>
      <protection/>
    </xf>
    <xf numFmtId="0" fontId="22" fillId="2" borderId="11" xfId="0" applyFont="1" applyFill="1" applyBorder="1" applyAlignment="1" applyProtection="1">
      <alignment vertical="center" wrapText="1"/>
      <protection/>
    </xf>
    <xf numFmtId="0" fontId="0" fillId="2" borderId="66" xfId="0" applyFill="1" applyBorder="1" applyAlignment="1" applyProtection="1">
      <alignment vertical="center"/>
      <protection/>
    </xf>
    <xf numFmtId="176" fontId="0" fillId="2" borderId="11" xfId="0" applyNumberFormat="1" applyFill="1" applyBorder="1" applyAlignment="1" applyProtection="1">
      <alignment vertical="center" wrapText="1"/>
      <protection locked="0"/>
    </xf>
    <xf numFmtId="0" fontId="5" fillId="2" borderId="59" xfId="0" applyFont="1" applyFill="1" applyBorder="1" applyAlignment="1" applyProtection="1">
      <alignment horizontal="center" vertical="center"/>
      <protection/>
    </xf>
    <xf numFmtId="211" fontId="5" fillId="2" borderId="67" xfId="0" applyNumberFormat="1" applyFont="1" applyFill="1" applyBorder="1" applyAlignment="1" applyProtection="1">
      <alignment horizontal="right" vertical="center"/>
      <protection/>
    </xf>
    <xf numFmtId="0" fontId="0" fillId="2" borderId="0" xfId="0" applyFill="1" applyBorder="1" applyAlignment="1" applyProtection="1">
      <alignment vertical="center"/>
      <protection/>
    </xf>
    <xf numFmtId="0" fontId="0" fillId="2" borderId="63" xfId="0" applyFill="1" applyBorder="1" applyAlignment="1" applyProtection="1">
      <alignment vertical="center"/>
      <protection locked="0"/>
    </xf>
    <xf numFmtId="0" fontId="0" fillId="2" borderId="14" xfId="0" applyFill="1" applyBorder="1" applyAlignment="1" applyProtection="1">
      <alignment vertical="center"/>
      <protection/>
    </xf>
    <xf numFmtId="0" fontId="0" fillId="2" borderId="63" xfId="0" applyFill="1" applyBorder="1" applyAlignment="1" applyProtection="1">
      <alignment horizontal="right" vertical="center"/>
      <protection/>
    </xf>
    <xf numFmtId="0" fontId="5" fillId="2" borderId="68" xfId="0" applyFont="1" applyFill="1" applyBorder="1" applyAlignment="1" applyProtection="1">
      <alignment horizontal="center" vertical="center"/>
      <protection/>
    </xf>
    <xf numFmtId="0" fontId="5" fillId="2" borderId="69" xfId="0" applyFont="1" applyFill="1" applyBorder="1" applyAlignment="1" applyProtection="1">
      <alignment horizontal="right" vertical="center"/>
      <protection/>
    </xf>
    <xf numFmtId="211" fontId="6" fillId="2" borderId="65" xfId="0" applyNumberFormat="1" applyFont="1" applyFill="1" applyBorder="1" applyAlignment="1" applyProtection="1">
      <alignment horizontal="right" vertical="center"/>
      <protection/>
    </xf>
    <xf numFmtId="0" fontId="0" fillId="36" borderId="70" xfId="0" applyFill="1" applyBorder="1" applyAlignment="1" applyProtection="1">
      <alignment horizontal="center" vertical="center"/>
      <protection/>
    </xf>
    <xf numFmtId="177" fontId="0" fillId="2" borderId="71" xfId="0" applyNumberFormat="1" applyFill="1" applyBorder="1" applyAlignment="1" applyProtection="1">
      <alignment horizontal="right" vertical="center"/>
      <protection/>
    </xf>
    <xf numFmtId="0" fontId="0" fillId="2" borderId="61" xfId="0" applyFill="1" applyBorder="1" applyAlignment="1" applyProtection="1">
      <alignment horizontal="right" vertical="center"/>
      <protection/>
    </xf>
    <xf numFmtId="0" fontId="0" fillId="2" borderId="72" xfId="0" applyFill="1" applyBorder="1" applyAlignment="1" applyProtection="1">
      <alignment horizontal="right" vertical="center"/>
      <protection/>
    </xf>
    <xf numFmtId="0" fontId="0" fillId="2" borderId="73" xfId="0" applyFill="1" applyBorder="1" applyAlignment="1" applyProtection="1">
      <alignment horizontal="right" vertical="center"/>
      <protection/>
    </xf>
    <xf numFmtId="0" fontId="0" fillId="2" borderId="74" xfId="0" applyFill="1" applyBorder="1" applyAlignment="1" applyProtection="1">
      <alignment horizontal="right" vertical="center"/>
      <protection/>
    </xf>
    <xf numFmtId="0" fontId="0" fillId="2" borderId="53" xfId="0" applyFill="1" applyBorder="1" applyAlignment="1" applyProtection="1">
      <alignment horizontal="right" vertical="center"/>
      <protection/>
    </xf>
    <xf numFmtId="205" fontId="0" fillId="2" borderId="75" xfId="0" applyNumberFormat="1" applyFont="1" applyFill="1" applyBorder="1" applyAlignment="1" applyProtection="1">
      <alignment horizontal="right" vertical="center"/>
      <protection/>
    </xf>
    <xf numFmtId="0" fontId="35" fillId="25" borderId="0" xfId="0" applyFont="1" applyFill="1" applyAlignment="1" applyProtection="1">
      <alignment horizontal="right" vertical="center"/>
      <protection/>
    </xf>
    <xf numFmtId="0" fontId="36" fillId="25" borderId="37" xfId="0" applyFont="1" applyFill="1" applyBorder="1" applyAlignment="1" applyProtection="1">
      <alignment horizontal="right" vertical="center"/>
      <protection/>
    </xf>
    <xf numFmtId="10" fontId="9" fillId="36" borderId="11" xfId="43" applyNumberFormat="1" applyFont="1" applyFill="1" applyBorder="1" applyAlignment="1" applyProtection="1">
      <alignment horizontal="right" vertical="center"/>
      <protection locked="0"/>
    </xf>
    <xf numFmtId="0" fontId="0" fillId="25" borderId="0" xfId="0" applyFill="1" applyBorder="1" applyAlignment="1" applyProtection="1">
      <alignment horizontal="left" vertical="center"/>
      <protection/>
    </xf>
    <xf numFmtId="0" fontId="5" fillId="25" borderId="76" xfId="0" applyFont="1" applyFill="1" applyBorder="1" applyAlignment="1" applyProtection="1">
      <alignment vertical="center"/>
      <protection locked="0"/>
    </xf>
    <xf numFmtId="0" fontId="28" fillId="2" borderId="0" xfId="0" applyFont="1" applyFill="1" applyBorder="1" applyAlignment="1" applyProtection="1">
      <alignment horizontal="left" vertical="center"/>
      <protection/>
    </xf>
    <xf numFmtId="38" fontId="28" fillId="2" borderId="0" xfId="50" applyFont="1" applyFill="1" applyBorder="1" applyAlignment="1" applyProtection="1">
      <alignment horizontal="left" vertical="center"/>
      <protection/>
    </xf>
    <xf numFmtId="0" fontId="0" fillId="2" borderId="0" xfId="0" applyFill="1" applyBorder="1" applyAlignment="1" applyProtection="1">
      <alignment horizontal="left" vertical="center"/>
      <protection/>
    </xf>
    <xf numFmtId="0" fontId="31" fillId="25" borderId="0" xfId="0" applyFont="1" applyFill="1" applyBorder="1" applyAlignment="1" applyProtection="1">
      <alignment horizontal="left" vertical="center"/>
      <protection/>
    </xf>
    <xf numFmtId="38" fontId="9" fillId="36" borderId="74" xfId="50" applyFont="1" applyFill="1" applyBorder="1" applyAlignment="1" applyProtection="1">
      <alignment horizontal="right" vertical="center" wrapText="1"/>
      <protection locked="0"/>
    </xf>
    <xf numFmtId="0" fontId="5" fillId="35" borderId="77" xfId="0" applyFont="1" applyFill="1" applyBorder="1" applyAlignment="1">
      <alignment horizontal="center" vertical="center"/>
    </xf>
    <xf numFmtId="0" fontId="0" fillId="36" borderId="31" xfId="0" applyFill="1" applyBorder="1" applyAlignment="1" applyProtection="1">
      <alignment horizontal="right" vertical="center"/>
      <protection locked="0"/>
    </xf>
    <xf numFmtId="38" fontId="0" fillId="25" borderId="0" xfId="0" applyNumberFormat="1" applyFill="1" applyAlignment="1" applyProtection="1">
      <alignment horizontal="center" vertical="center"/>
      <protection/>
    </xf>
    <xf numFmtId="176" fontId="0" fillId="25" borderId="0" xfId="0" applyNumberFormat="1" applyFill="1" applyAlignment="1" applyProtection="1">
      <alignment horizontal="center" vertical="center"/>
      <protection/>
    </xf>
    <xf numFmtId="176" fontId="0" fillId="25" borderId="14" xfId="0" applyNumberFormat="1" applyFill="1" applyBorder="1" applyAlignment="1" applyProtection="1">
      <alignment horizontal="right" vertical="center"/>
      <protection/>
    </xf>
    <xf numFmtId="176" fontId="0" fillId="25" borderId="52" xfId="0" applyNumberFormat="1" applyFill="1" applyBorder="1" applyAlignment="1" applyProtection="1">
      <alignment horizontal="right" vertical="center"/>
      <protection/>
    </xf>
    <xf numFmtId="0" fontId="7" fillId="2" borderId="49" xfId="0" applyFont="1" applyFill="1" applyBorder="1" applyAlignment="1" applyProtection="1">
      <alignment horizontal="center" vertical="center" wrapText="1"/>
      <protection/>
    </xf>
    <xf numFmtId="0" fontId="10" fillId="2" borderId="45" xfId="0" applyFont="1" applyFill="1" applyBorder="1" applyAlignment="1" applyProtection="1">
      <alignment horizontal="center" vertical="center" wrapText="1"/>
      <protection/>
    </xf>
    <xf numFmtId="0" fontId="10" fillId="2" borderId="51" xfId="0" applyFont="1" applyFill="1" applyBorder="1" applyAlignment="1" applyProtection="1">
      <alignment horizontal="center" vertical="center" wrapText="1"/>
      <protection/>
    </xf>
    <xf numFmtId="0" fontId="12" fillId="36" borderId="78" xfId="0" applyFont="1" applyFill="1" applyBorder="1" applyAlignment="1" applyProtection="1">
      <alignment horizontal="center" vertical="center"/>
      <protection locked="0"/>
    </xf>
    <xf numFmtId="177" fontId="0" fillId="2" borderId="29" xfId="0" applyNumberFormat="1" applyFill="1" applyBorder="1" applyAlignment="1" applyProtection="1">
      <alignment horizontal="right" vertical="center"/>
      <protection/>
    </xf>
    <xf numFmtId="0" fontId="12" fillId="36" borderId="11" xfId="0" applyFont="1" applyFill="1" applyBorder="1" applyAlignment="1" applyProtection="1">
      <alignment horizontal="right" vertical="center"/>
      <protection locked="0"/>
    </xf>
    <xf numFmtId="0" fontId="0" fillId="0" borderId="1" xfId="0" applyBorder="1" applyAlignment="1">
      <alignment vertical="center"/>
    </xf>
    <xf numFmtId="0" fontId="0" fillId="25" borderId="1" xfId="0" applyFill="1" applyBorder="1" applyAlignment="1">
      <alignment horizontal="center" vertical="center"/>
    </xf>
    <xf numFmtId="0" fontId="0" fillId="25" borderId="1" xfId="0" applyFill="1" applyBorder="1" applyAlignment="1">
      <alignment horizontal="left" vertical="center"/>
    </xf>
    <xf numFmtId="0" fontId="0" fillId="25" borderId="79" xfId="0" applyFill="1" applyBorder="1" applyAlignment="1">
      <alignment vertical="center"/>
    </xf>
    <xf numFmtId="0" fontId="0" fillId="25" borderId="57" xfId="0" applyFill="1" applyBorder="1" applyAlignment="1">
      <alignment horizontal="left" vertical="center"/>
    </xf>
    <xf numFmtId="0" fontId="0" fillId="0" borderId="57" xfId="0" applyBorder="1" applyAlignment="1">
      <alignment vertical="center"/>
    </xf>
    <xf numFmtId="0" fontId="0" fillId="0" borderId="0" xfId="0" applyBorder="1" applyAlignment="1">
      <alignment vertical="center"/>
    </xf>
    <xf numFmtId="0" fontId="15" fillId="2" borderId="80" xfId="0" applyFont="1" applyFill="1" applyBorder="1" applyAlignment="1" applyProtection="1">
      <alignment horizontal="left" vertical="center"/>
      <protection/>
    </xf>
    <xf numFmtId="0" fontId="15" fillId="2" borderId="36" xfId="0" applyFont="1" applyFill="1" applyBorder="1" applyAlignment="1" applyProtection="1">
      <alignment horizontal="center" vertical="center"/>
      <protection/>
    </xf>
    <xf numFmtId="0" fontId="15" fillId="2" borderId="81" xfId="0" applyFont="1" applyFill="1" applyBorder="1" applyAlignment="1" applyProtection="1">
      <alignment horizontal="center" vertical="center"/>
      <protection/>
    </xf>
    <xf numFmtId="0" fontId="15" fillId="2" borderId="52" xfId="0" applyFont="1" applyFill="1" applyBorder="1" applyAlignment="1" applyProtection="1">
      <alignment horizontal="left" vertical="center"/>
      <protection/>
    </xf>
    <xf numFmtId="0" fontId="15" fillId="2" borderId="38" xfId="0" applyFont="1" applyFill="1" applyBorder="1" applyAlignment="1" applyProtection="1">
      <alignment horizontal="center" vertical="center"/>
      <protection/>
    </xf>
    <xf numFmtId="0" fontId="15" fillId="2" borderId="44" xfId="0" applyFont="1" applyFill="1" applyBorder="1" applyAlignment="1" applyProtection="1">
      <alignment horizontal="center" vertical="center"/>
      <protection/>
    </xf>
    <xf numFmtId="0" fontId="0" fillId="25" borderId="38" xfId="0" applyFill="1" applyBorder="1" applyAlignment="1" applyProtection="1">
      <alignment horizontal="right" vertical="center"/>
      <protection/>
    </xf>
    <xf numFmtId="0" fontId="2" fillId="2" borderId="76" xfId="0" applyFont="1" applyFill="1" applyBorder="1" applyAlignment="1" applyProtection="1">
      <alignment horizontal="left" vertical="center"/>
      <protection/>
    </xf>
    <xf numFmtId="0" fontId="28" fillId="2" borderId="39" xfId="0" applyFont="1" applyFill="1" applyBorder="1" applyAlignment="1" applyProtection="1">
      <alignment horizontal="left" vertical="center"/>
      <protection/>
    </xf>
    <xf numFmtId="38" fontId="28" fillId="2" borderId="39" xfId="50" applyFont="1" applyFill="1" applyBorder="1" applyAlignment="1" applyProtection="1">
      <alignment horizontal="left" vertical="center"/>
      <protection/>
    </xf>
    <xf numFmtId="0" fontId="0" fillId="2" borderId="39" xfId="0" applyFill="1" applyBorder="1" applyAlignment="1" applyProtection="1">
      <alignment horizontal="left" vertical="center"/>
      <protection/>
    </xf>
    <xf numFmtId="0" fontId="28" fillId="2" borderId="40" xfId="0" applyFont="1" applyFill="1" applyBorder="1" applyAlignment="1" applyProtection="1">
      <alignment horizontal="left" vertical="center"/>
      <protection/>
    </xf>
    <xf numFmtId="0" fontId="2" fillId="2" borderId="37" xfId="0" applyFont="1" applyFill="1" applyBorder="1" applyAlignment="1" applyProtection="1">
      <alignment horizontal="left" vertical="center"/>
      <protection/>
    </xf>
    <xf numFmtId="0" fontId="28" fillId="2" borderId="43" xfId="0" applyFont="1" applyFill="1" applyBorder="1" applyAlignment="1" applyProtection="1">
      <alignment horizontal="left" vertical="center"/>
      <protection/>
    </xf>
    <xf numFmtId="0" fontId="31" fillId="2" borderId="37" xfId="0" applyFont="1" applyFill="1" applyBorder="1" applyAlignment="1" applyProtection="1">
      <alignment horizontal="left" vertical="center"/>
      <protection/>
    </xf>
    <xf numFmtId="0" fontId="31" fillId="2" borderId="41" xfId="0" applyFont="1" applyFill="1" applyBorder="1" applyAlignment="1" applyProtection="1">
      <alignment horizontal="left" vertical="center"/>
      <protection/>
    </xf>
    <xf numFmtId="0" fontId="0" fillId="25" borderId="39" xfId="0" applyFill="1" applyBorder="1" applyAlignment="1" applyProtection="1">
      <alignment horizontal="center" vertical="center"/>
      <protection/>
    </xf>
    <xf numFmtId="0" fontId="0" fillId="25" borderId="43" xfId="0" applyFill="1" applyBorder="1" applyAlignment="1" applyProtection="1">
      <alignment horizontal="center" vertical="center"/>
      <protection/>
    </xf>
    <xf numFmtId="0" fontId="0" fillId="25" borderId="44" xfId="0" applyFill="1" applyBorder="1" applyAlignment="1" applyProtection="1">
      <alignment horizontal="center" vertical="center"/>
      <protection/>
    </xf>
    <xf numFmtId="0" fontId="0" fillId="25" borderId="38" xfId="0" applyFill="1" applyBorder="1" applyAlignment="1" applyProtection="1">
      <alignment horizontal="center" vertical="center"/>
      <protection/>
    </xf>
    <xf numFmtId="0" fontId="0" fillId="25" borderId="18" xfId="0" applyFill="1" applyBorder="1" applyAlignment="1">
      <alignment horizontal="center" vertical="center"/>
    </xf>
    <xf numFmtId="38" fontId="1" fillId="25" borderId="0" xfId="50" applyFont="1" applyFill="1" applyAlignment="1" applyProtection="1">
      <alignment horizontal="center" vertical="center"/>
      <protection/>
    </xf>
    <xf numFmtId="0" fontId="21" fillId="25" borderId="76" xfId="0" applyFont="1" applyFill="1" applyBorder="1" applyAlignment="1" applyProtection="1">
      <alignment horizontal="right" vertical="center"/>
      <protection/>
    </xf>
    <xf numFmtId="38" fontId="1" fillId="25" borderId="39" xfId="50" applyFont="1" applyFill="1" applyBorder="1" applyAlignment="1" applyProtection="1">
      <alignment horizontal="center" vertical="center"/>
      <protection/>
    </xf>
    <xf numFmtId="0" fontId="21" fillId="25" borderId="37" xfId="0" applyFont="1" applyFill="1" applyBorder="1" applyAlignment="1" applyProtection="1">
      <alignment horizontal="right" vertical="center"/>
      <protection/>
    </xf>
    <xf numFmtId="58" fontId="18" fillId="2" borderId="43" xfId="0" applyNumberFormat="1" applyFont="1" applyFill="1" applyBorder="1" applyAlignment="1" applyProtection="1">
      <alignment horizontal="center" vertical="center"/>
      <protection/>
    </xf>
    <xf numFmtId="38" fontId="1" fillId="25" borderId="0" xfId="50" applyFont="1" applyFill="1" applyBorder="1" applyAlignment="1" applyProtection="1">
      <alignment horizontal="center" vertical="center"/>
      <protection/>
    </xf>
    <xf numFmtId="38" fontId="1" fillId="25" borderId="0" xfId="50" applyFont="1" applyFill="1" applyBorder="1" applyAlignment="1" applyProtection="1">
      <alignment horizontal="left" vertical="center"/>
      <protection/>
    </xf>
    <xf numFmtId="0" fontId="9" fillId="2" borderId="0" xfId="0" applyFont="1" applyFill="1" applyBorder="1" applyAlignment="1" applyProtection="1">
      <alignment horizontal="left" vertical="center"/>
      <protection/>
    </xf>
    <xf numFmtId="38" fontId="9" fillId="2" borderId="0" xfId="50" applyFont="1" applyFill="1" applyBorder="1" applyAlignment="1" applyProtection="1">
      <alignment horizontal="left" vertical="center"/>
      <protection/>
    </xf>
    <xf numFmtId="0" fontId="21" fillId="0" borderId="37" xfId="0" applyFont="1" applyFill="1" applyBorder="1" applyAlignment="1" applyProtection="1">
      <alignment horizontal="right" vertical="center"/>
      <protection/>
    </xf>
    <xf numFmtId="0" fontId="9" fillId="2" borderId="43" xfId="0" applyFont="1" applyFill="1" applyBorder="1" applyAlignment="1" applyProtection="1">
      <alignment horizontal="left" vertical="center"/>
      <protection/>
    </xf>
    <xf numFmtId="0" fontId="12" fillId="36" borderId="82" xfId="0" applyFont="1" applyFill="1" applyBorder="1" applyAlignment="1" applyProtection="1">
      <alignment horizontal="center" vertical="center"/>
      <protection locked="0"/>
    </xf>
    <xf numFmtId="0" fontId="12" fillId="36" borderId="78" xfId="0" applyFont="1" applyFill="1" applyBorder="1" applyAlignment="1" applyProtection="1">
      <alignment horizontal="center" vertical="center" wrapText="1"/>
      <protection locked="0"/>
    </xf>
    <xf numFmtId="0" fontId="12" fillId="36" borderId="69" xfId="0" applyFont="1" applyFill="1" applyBorder="1" applyAlignment="1" applyProtection="1">
      <alignment horizontal="center" vertical="center"/>
      <protection locked="0"/>
    </xf>
    <xf numFmtId="0" fontId="12" fillId="36" borderId="16" xfId="0" applyFont="1" applyFill="1" applyBorder="1" applyAlignment="1" applyProtection="1">
      <alignment horizontal="right" vertical="center"/>
      <protection locked="0"/>
    </xf>
    <xf numFmtId="0" fontId="12" fillId="36" borderId="61" xfId="0" applyFont="1" applyFill="1" applyBorder="1" applyAlignment="1" applyProtection="1">
      <alignment horizontal="right" vertical="center"/>
      <protection locked="0"/>
    </xf>
    <xf numFmtId="0" fontId="9" fillId="2" borderId="38" xfId="0" applyFont="1" applyFill="1" applyBorder="1" applyAlignment="1" applyProtection="1">
      <alignment horizontal="left" vertical="center"/>
      <protection/>
    </xf>
    <xf numFmtId="38" fontId="9" fillId="2" borderId="38" xfId="50" applyFont="1" applyFill="1" applyBorder="1" applyAlignment="1" applyProtection="1">
      <alignment horizontal="left" vertical="center"/>
      <protection/>
    </xf>
    <xf numFmtId="0" fontId="9" fillId="2" borderId="44" xfId="0" applyFont="1" applyFill="1" applyBorder="1" applyAlignment="1" applyProtection="1">
      <alignment horizontal="left" vertical="center"/>
      <protection/>
    </xf>
    <xf numFmtId="0" fontId="9" fillId="25" borderId="0" xfId="0" applyFont="1" applyFill="1" applyBorder="1" applyAlignment="1" applyProtection="1">
      <alignment horizontal="left" vertical="center"/>
      <protection/>
    </xf>
    <xf numFmtId="38" fontId="9" fillId="25" borderId="0" xfId="50" applyFont="1" applyFill="1" applyBorder="1" applyAlignment="1" applyProtection="1">
      <alignment horizontal="left" vertical="center"/>
      <protection/>
    </xf>
    <xf numFmtId="38" fontId="17" fillId="2" borderId="83" xfId="50" applyFont="1" applyFill="1" applyBorder="1" applyAlignment="1" applyProtection="1">
      <alignment horizontal="center" vertical="center"/>
      <protection/>
    </xf>
    <xf numFmtId="38" fontId="5" fillId="2" borderId="70" xfId="50" applyFont="1" applyFill="1" applyBorder="1" applyAlignment="1" applyProtection="1">
      <alignment horizontal="center" vertical="center"/>
      <protection/>
    </xf>
    <xf numFmtId="38" fontId="5" fillId="2" borderId="84" xfId="50" applyFont="1" applyFill="1" applyBorder="1" applyAlignment="1" applyProtection="1">
      <alignment horizontal="center" vertical="center"/>
      <protection/>
    </xf>
    <xf numFmtId="0" fontId="17" fillId="2" borderId="17" xfId="0" applyFont="1" applyFill="1" applyBorder="1" applyAlignment="1" applyProtection="1">
      <alignment horizontal="center" vertical="center"/>
      <protection/>
    </xf>
    <xf numFmtId="10" fontId="9" fillId="36" borderId="61" xfId="43" applyNumberFormat="1" applyFont="1" applyFill="1" applyBorder="1" applyAlignment="1" applyProtection="1">
      <alignment horizontal="right" vertical="center"/>
      <protection locked="0"/>
    </xf>
    <xf numFmtId="199" fontId="9" fillId="36" borderId="11" xfId="50" applyNumberFormat="1" applyFont="1" applyFill="1" applyBorder="1" applyAlignment="1" applyProtection="1">
      <alignment horizontal="right" vertical="center"/>
      <protection locked="0"/>
    </xf>
    <xf numFmtId="199" fontId="9" fillId="36" borderId="61" xfId="50" applyNumberFormat="1" applyFont="1" applyFill="1" applyBorder="1" applyAlignment="1" applyProtection="1">
      <alignment horizontal="right" vertical="center"/>
      <protection locked="0"/>
    </xf>
    <xf numFmtId="38" fontId="5" fillId="2" borderId="85" xfId="50" applyFont="1" applyFill="1" applyBorder="1" applyAlignment="1" applyProtection="1">
      <alignment horizontal="center" vertical="center"/>
      <protection/>
    </xf>
    <xf numFmtId="38" fontId="9" fillId="2" borderId="86" xfId="50" applyFont="1" applyFill="1" applyBorder="1" applyAlignment="1" applyProtection="1">
      <alignment horizontal="center" vertical="center"/>
      <protection/>
    </xf>
    <xf numFmtId="38" fontId="5" fillId="2" borderId="87" xfId="50" applyFont="1" applyFill="1" applyBorder="1" applyAlignment="1" applyProtection="1">
      <alignment horizontal="center" vertical="center"/>
      <protection/>
    </xf>
    <xf numFmtId="0" fontId="9" fillId="2" borderId="56" xfId="0" applyFont="1" applyFill="1" applyBorder="1" applyAlignment="1" applyProtection="1">
      <alignment horizontal="right" vertical="center"/>
      <protection/>
    </xf>
    <xf numFmtId="0" fontId="9" fillId="2" borderId="57" xfId="0" applyFont="1" applyFill="1" applyBorder="1" applyAlignment="1" applyProtection="1">
      <alignment horizontal="right" vertical="center"/>
      <protection/>
    </xf>
    <xf numFmtId="0" fontId="9" fillId="2" borderId="58" xfId="0" applyFont="1" applyFill="1" applyBorder="1" applyAlignment="1" applyProtection="1">
      <alignment horizontal="right" vertical="center"/>
      <protection/>
    </xf>
    <xf numFmtId="0" fontId="9" fillId="2" borderId="66" xfId="0" applyFont="1" applyFill="1" applyBorder="1" applyAlignment="1" applyProtection="1">
      <alignment horizontal="right" vertical="center"/>
      <protection/>
    </xf>
    <xf numFmtId="211" fontId="9" fillId="2" borderId="66" xfId="0" applyNumberFormat="1" applyFont="1" applyFill="1" applyBorder="1" applyAlignment="1" applyProtection="1">
      <alignment horizontal="right" vertical="center"/>
      <protection/>
    </xf>
    <xf numFmtId="211" fontId="9" fillId="2" borderId="88" xfId="0" applyNumberFormat="1" applyFont="1" applyFill="1" applyBorder="1" applyAlignment="1" applyProtection="1">
      <alignment horizontal="right" vertical="center"/>
      <protection/>
    </xf>
    <xf numFmtId="0" fontId="9" fillId="2" borderId="1" xfId="0" applyFont="1" applyFill="1" applyBorder="1" applyAlignment="1" applyProtection="1">
      <alignment horizontal="right" vertical="center"/>
      <protection/>
    </xf>
    <xf numFmtId="38" fontId="1" fillId="2" borderId="57" xfId="50" applyFont="1" applyFill="1" applyBorder="1" applyAlignment="1" applyProtection="1">
      <alignment horizontal="right" vertical="center"/>
      <protection/>
    </xf>
    <xf numFmtId="211" fontId="9" fillId="2" borderId="53" xfId="0" applyNumberFormat="1" applyFont="1" applyFill="1" applyBorder="1" applyAlignment="1" applyProtection="1">
      <alignment horizontal="right" vertical="center"/>
      <protection/>
    </xf>
    <xf numFmtId="211" fontId="9" fillId="36" borderId="66" xfId="0" applyNumberFormat="1" applyFont="1" applyFill="1" applyBorder="1" applyAlignment="1" applyProtection="1">
      <alignment horizontal="right" vertical="center"/>
      <protection locked="0"/>
    </xf>
    <xf numFmtId="211" fontId="9" fillId="2" borderId="89" xfId="0" applyNumberFormat="1" applyFont="1" applyFill="1" applyBorder="1" applyAlignment="1" applyProtection="1">
      <alignment horizontal="right" vertical="center"/>
      <protection/>
    </xf>
    <xf numFmtId="0" fontId="9" fillId="36" borderId="11" xfId="0" applyFont="1" applyFill="1" applyBorder="1" applyAlignment="1" applyProtection="1">
      <alignment horizontal="right" vertical="center"/>
      <protection locked="0"/>
    </xf>
    <xf numFmtId="0" fontId="9" fillId="36" borderId="15" xfId="0" applyFont="1" applyFill="1" applyBorder="1" applyAlignment="1" applyProtection="1">
      <alignment horizontal="right" vertical="center"/>
      <protection locked="0"/>
    </xf>
    <xf numFmtId="211" fontId="9" fillId="36" borderId="90" xfId="0" applyNumberFormat="1" applyFont="1" applyFill="1" applyBorder="1" applyAlignment="1" applyProtection="1">
      <alignment horizontal="right" vertical="center"/>
      <protection locked="0"/>
    </xf>
    <xf numFmtId="211" fontId="9" fillId="2" borderId="91" xfId="0" applyNumberFormat="1" applyFont="1" applyFill="1" applyBorder="1" applyAlignment="1" applyProtection="1">
      <alignment horizontal="right" vertical="center"/>
      <protection/>
    </xf>
    <xf numFmtId="38" fontId="1" fillId="2" borderId="30" xfId="50" applyFont="1" applyFill="1" applyBorder="1" applyAlignment="1" applyProtection="1">
      <alignment horizontal="right" vertical="center"/>
      <protection/>
    </xf>
    <xf numFmtId="211" fontId="9" fillId="2" borderId="92" xfId="0" applyNumberFormat="1" applyFont="1" applyFill="1" applyBorder="1" applyAlignment="1" applyProtection="1">
      <alignment horizontal="right" vertical="center"/>
      <protection/>
    </xf>
    <xf numFmtId="38" fontId="1" fillId="25" borderId="38" xfId="50" applyFont="1" applyFill="1" applyBorder="1" applyAlignment="1" applyProtection="1">
      <alignment horizontal="center" vertical="center"/>
      <protection/>
    </xf>
    <xf numFmtId="38" fontId="1" fillId="0" borderId="0" xfId="50" applyFont="1" applyFill="1" applyAlignment="1" applyProtection="1">
      <alignment horizontal="center" vertical="center"/>
      <protection/>
    </xf>
    <xf numFmtId="0" fontId="0" fillId="2" borderId="76" xfId="0" applyFill="1" applyBorder="1" applyAlignment="1" applyProtection="1">
      <alignment horizontal="center" vertical="center"/>
      <protection/>
    </xf>
    <xf numFmtId="0" fontId="0" fillId="2" borderId="41" xfId="0" applyFill="1" applyBorder="1" applyAlignment="1" applyProtection="1">
      <alignment horizontal="center" vertical="center"/>
      <protection/>
    </xf>
    <xf numFmtId="0" fontId="23" fillId="25" borderId="0" xfId="0" applyFont="1" applyFill="1" applyBorder="1" applyAlignment="1" applyProtection="1">
      <alignment horizontal="center" vertical="center"/>
      <protection/>
    </xf>
    <xf numFmtId="177" fontId="1" fillId="2" borderId="56" xfId="50" applyNumberFormat="1" applyFont="1" applyFill="1" applyBorder="1" applyAlignment="1" applyProtection="1">
      <alignment horizontal="right" vertical="center"/>
      <protection/>
    </xf>
    <xf numFmtId="177" fontId="1" fillId="2" borderId="57" xfId="50" applyNumberFormat="1" applyFont="1" applyFill="1" applyBorder="1" applyAlignment="1" applyProtection="1">
      <alignment horizontal="right" vertical="center"/>
      <protection/>
    </xf>
    <xf numFmtId="177" fontId="1" fillId="2" borderId="53" xfId="50" applyNumberFormat="1" applyFont="1" applyFill="1" applyBorder="1" applyAlignment="1" applyProtection="1">
      <alignment horizontal="right" vertical="center" wrapText="1"/>
      <protection/>
    </xf>
    <xf numFmtId="177" fontId="1" fillId="2" borderId="61" xfId="50" applyNumberFormat="1" applyFont="1" applyFill="1" applyBorder="1" applyAlignment="1" applyProtection="1">
      <alignment horizontal="right" vertical="center" wrapText="1"/>
      <protection/>
    </xf>
    <xf numFmtId="177" fontId="1" fillId="2" borderId="58" xfId="50" applyNumberFormat="1" applyFont="1" applyFill="1" applyBorder="1" applyAlignment="1" applyProtection="1">
      <alignment horizontal="right" vertical="center"/>
      <protection/>
    </xf>
    <xf numFmtId="177" fontId="1" fillId="2" borderId="59" xfId="50" applyNumberFormat="1" applyFont="1" applyFill="1" applyBorder="1" applyAlignment="1" applyProtection="1">
      <alignment horizontal="right" vertical="center"/>
      <protection/>
    </xf>
    <xf numFmtId="177" fontId="1" fillId="2" borderId="60" xfId="50" applyNumberFormat="1" applyFont="1" applyFill="1" applyBorder="1" applyAlignment="1" applyProtection="1">
      <alignment horizontal="right" vertical="center"/>
      <protection/>
    </xf>
    <xf numFmtId="177" fontId="1" fillId="2" borderId="44" xfId="50" applyNumberFormat="1" applyFont="1" applyFill="1" applyBorder="1" applyAlignment="1" applyProtection="1">
      <alignment horizontal="right" vertical="center"/>
      <protection/>
    </xf>
    <xf numFmtId="0" fontId="32" fillId="36" borderId="55" xfId="0" applyFont="1" applyFill="1" applyBorder="1" applyAlignment="1" applyProtection="1">
      <alignment horizontal="center" vertical="center"/>
      <protection locked="0"/>
    </xf>
    <xf numFmtId="0" fontId="32" fillId="36" borderId="63" xfId="0" applyFont="1" applyFill="1" applyBorder="1" applyAlignment="1" applyProtection="1">
      <alignment horizontal="center" vertical="center"/>
      <protection locked="0"/>
    </xf>
    <xf numFmtId="0" fontId="32" fillId="36" borderId="93" xfId="0" applyFont="1" applyFill="1" applyBorder="1" applyAlignment="1" applyProtection="1">
      <alignment horizontal="center" vertical="center"/>
      <protection locked="0"/>
    </xf>
    <xf numFmtId="0" fontId="0" fillId="2" borderId="41" xfId="0" applyFill="1" applyBorder="1" applyAlignment="1" applyProtection="1">
      <alignment horizontal="center" vertical="center"/>
      <protection/>
    </xf>
    <xf numFmtId="0" fontId="0" fillId="2" borderId="60" xfId="0" applyFill="1" applyBorder="1" applyAlignment="1" applyProtection="1">
      <alignment horizontal="center" vertical="center"/>
      <protection/>
    </xf>
    <xf numFmtId="0" fontId="7" fillId="2" borderId="94" xfId="0" applyFont="1" applyFill="1" applyBorder="1" applyAlignment="1" applyProtection="1">
      <alignment horizontal="center" vertical="center"/>
      <protection/>
    </xf>
    <xf numFmtId="0" fontId="7" fillId="2" borderId="95" xfId="0" applyFont="1" applyFill="1" applyBorder="1" applyAlignment="1" applyProtection="1">
      <alignment horizontal="center" vertical="center"/>
      <protection/>
    </xf>
    <xf numFmtId="0" fontId="7" fillId="2" borderId="96" xfId="0" applyFont="1" applyFill="1" applyBorder="1" applyAlignment="1" applyProtection="1">
      <alignment horizontal="center" vertical="center"/>
      <protection/>
    </xf>
    <xf numFmtId="0" fontId="3" fillId="2" borderId="97" xfId="0" applyFont="1" applyFill="1" applyBorder="1" applyAlignment="1" applyProtection="1" quotePrefix="1">
      <alignment horizontal="center" vertical="center"/>
      <protection/>
    </xf>
    <xf numFmtId="0" fontId="3" fillId="2" borderId="79" xfId="0" applyFont="1" applyFill="1" applyBorder="1" applyAlignment="1" applyProtection="1" quotePrefix="1">
      <alignment horizontal="center" vertical="center"/>
      <protection/>
    </xf>
    <xf numFmtId="0" fontId="32" fillId="36" borderId="98" xfId="0" applyFont="1" applyFill="1" applyBorder="1" applyAlignment="1" applyProtection="1">
      <alignment horizontal="center" vertical="center"/>
      <protection locked="0"/>
    </xf>
    <xf numFmtId="0" fontId="32" fillId="36" borderId="99" xfId="0" applyFont="1" applyFill="1" applyBorder="1" applyAlignment="1" applyProtection="1">
      <alignment horizontal="center" vertical="center"/>
      <protection locked="0"/>
    </xf>
    <xf numFmtId="0" fontId="32" fillId="36" borderId="100" xfId="0" applyFont="1" applyFill="1" applyBorder="1" applyAlignment="1" applyProtection="1">
      <alignment horizontal="center" vertical="center"/>
      <protection locked="0"/>
    </xf>
    <xf numFmtId="0" fontId="32" fillId="36" borderId="75" xfId="0" applyFont="1" applyFill="1" applyBorder="1" applyAlignment="1" applyProtection="1">
      <alignment horizontal="center" vertical="center"/>
      <protection locked="0"/>
    </xf>
    <xf numFmtId="0" fontId="32" fillId="36" borderId="101" xfId="0" applyFont="1" applyFill="1" applyBorder="1" applyAlignment="1" applyProtection="1">
      <alignment horizontal="center" vertical="center"/>
      <protection locked="0"/>
    </xf>
    <xf numFmtId="0" fontId="32" fillId="36" borderId="102" xfId="0" applyFont="1" applyFill="1" applyBorder="1" applyAlignment="1" applyProtection="1">
      <alignment horizontal="center" vertical="center"/>
      <protection locked="0"/>
    </xf>
    <xf numFmtId="0" fontId="0" fillId="2" borderId="103" xfId="0" applyFont="1" applyFill="1" applyBorder="1" applyAlignment="1" applyProtection="1">
      <alignment horizontal="center" vertical="center"/>
      <protection/>
    </xf>
    <xf numFmtId="0" fontId="0" fillId="2" borderId="104" xfId="0" applyFont="1" applyFill="1" applyBorder="1" applyAlignment="1" applyProtection="1">
      <alignment horizontal="center" vertical="center"/>
      <protection/>
    </xf>
    <xf numFmtId="0" fontId="0" fillId="2" borderId="105" xfId="0" applyFont="1" applyFill="1" applyBorder="1" applyAlignment="1" applyProtection="1">
      <alignment horizontal="center" vertical="center"/>
      <protection/>
    </xf>
    <xf numFmtId="0" fontId="12" fillId="36" borderId="77" xfId="0" applyFont="1" applyFill="1" applyBorder="1" applyAlignment="1" applyProtection="1">
      <alignment horizontal="center" vertical="center"/>
      <protection locked="0"/>
    </xf>
    <xf numFmtId="0" fontId="12" fillId="36" borderId="0" xfId="0" applyFont="1" applyFill="1" applyBorder="1" applyAlignment="1" applyProtection="1">
      <alignment horizontal="center" vertical="center"/>
      <protection locked="0"/>
    </xf>
    <xf numFmtId="0" fontId="12" fillId="36" borderId="106" xfId="0" applyFont="1" applyFill="1" applyBorder="1" applyAlignment="1" applyProtection="1">
      <alignment horizontal="center" vertical="center"/>
      <protection locked="0"/>
    </xf>
    <xf numFmtId="0" fontId="12" fillId="36" borderId="77" xfId="0" applyFont="1" applyFill="1" applyBorder="1" applyAlignment="1" applyProtection="1">
      <alignment horizontal="center" vertical="top"/>
      <protection locked="0"/>
    </xf>
    <xf numFmtId="0" fontId="12" fillId="36" borderId="0" xfId="0" applyFont="1" applyFill="1" applyBorder="1" applyAlignment="1" applyProtection="1">
      <alignment horizontal="center" vertical="top"/>
      <protection locked="0"/>
    </xf>
    <xf numFmtId="0" fontId="12" fillId="36" borderId="106" xfId="0" applyFont="1" applyFill="1" applyBorder="1" applyAlignment="1" applyProtection="1">
      <alignment horizontal="center" vertical="top"/>
      <protection locked="0"/>
    </xf>
    <xf numFmtId="0" fontId="15" fillId="2" borderId="76" xfId="0" applyFont="1" applyFill="1" applyBorder="1" applyAlignment="1" applyProtection="1">
      <alignment horizontal="center" vertical="center"/>
      <protection/>
    </xf>
    <xf numFmtId="0" fontId="15" fillId="2" borderId="54" xfId="0" applyFont="1" applyFill="1" applyBorder="1" applyAlignment="1" applyProtection="1">
      <alignment horizontal="center" vertical="center"/>
      <protection/>
    </xf>
    <xf numFmtId="0" fontId="20" fillId="2" borderId="107" xfId="0" applyFont="1" applyFill="1" applyBorder="1" applyAlignment="1" applyProtection="1">
      <alignment horizontal="center" vertical="center" wrapText="1"/>
      <protection/>
    </xf>
    <xf numFmtId="0" fontId="20" fillId="2" borderId="108" xfId="0" applyFont="1" applyFill="1" applyBorder="1" applyAlignment="1" applyProtection="1">
      <alignment horizontal="center" vertical="center" wrapText="1"/>
      <protection/>
    </xf>
    <xf numFmtId="0" fontId="20" fillId="2" borderId="109" xfId="0" applyFont="1" applyFill="1" applyBorder="1" applyAlignment="1" applyProtection="1">
      <alignment horizontal="center" vertical="center" wrapText="1"/>
      <protection/>
    </xf>
    <xf numFmtId="0" fontId="12" fillId="36" borderId="14" xfId="0" applyFont="1" applyFill="1" applyBorder="1" applyAlignment="1" applyProtection="1">
      <alignment horizontal="center" vertical="top"/>
      <protection locked="0"/>
    </xf>
    <xf numFmtId="0" fontId="12" fillId="36" borderId="66" xfId="0" applyFont="1" applyFill="1" applyBorder="1" applyAlignment="1" applyProtection="1">
      <alignment horizontal="center" vertical="top"/>
      <protection locked="0"/>
    </xf>
    <xf numFmtId="0" fontId="12" fillId="36" borderId="57" xfId="0" applyFont="1" applyFill="1" applyBorder="1" applyAlignment="1" applyProtection="1">
      <alignment horizontal="center" vertical="top"/>
      <protection locked="0"/>
    </xf>
    <xf numFmtId="0" fontId="19" fillId="36" borderId="16" xfId="0" applyFont="1" applyFill="1" applyBorder="1" applyAlignment="1" applyProtection="1">
      <alignment horizontal="center" vertical="center"/>
      <protection locked="0"/>
    </xf>
    <xf numFmtId="0" fontId="19" fillId="36" borderId="110" xfId="0" applyFont="1" applyFill="1" applyBorder="1" applyAlignment="1" applyProtection="1">
      <alignment horizontal="center" vertical="center"/>
      <protection locked="0"/>
    </xf>
    <xf numFmtId="0" fontId="19" fillId="36" borderId="80" xfId="0" applyFont="1" applyFill="1" applyBorder="1" applyAlignment="1" applyProtection="1">
      <alignment horizontal="center" vertical="center"/>
      <protection locked="0"/>
    </xf>
    <xf numFmtId="0" fontId="19" fillId="36" borderId="79" xfId="0" applyFont="1" applyFill="1" applyBorder="1" applyAlignment="1" applyProtection="1">
      <alignment horizontal="center" vertical="center"/>
      <protection locked="0"/>
    </xf>
    <xf numFmtId="0" fontId="19" fillId="36" borderId="52" xfId="0" applyFont="1" applyFill="1" applyBorder="1" applyAlignment="1" applyProtection="1">
      <alignment horizontal="center" vertical="center"/>
      <protection locked="0"/>
    </xf>
    <xf numFmtId="0" fontId="19" fillId="36" borderId="60" xfId="0" applyFont="1" applyFill="1" applyBorder="1" applyAlignment="1" applyProtection="1">
      <alignment horizontal="center" vertical="center"/>
      <protection locked="0"/>
    </xf>
    <xf numFmtId="0" fontId="17" fillId="2" borderId="103" xfId="0" applyFont="1" applyFill="1" applyBorder="1" applyAlignment="1" applyProtection="1">
      <alignment horizontal="center" vertical="center" wrapText="1"/>
      <protection/>
    </xf>
    <xf numFmtId="0" fontId="17" fillId="2" borderId="104" xfId="0" applyFont="1" applyFill="1" applyBorder="1" applyAlignment="1" applyProtection="1">
      <alignment horizontal="center" vertical="center" wrapText="1"/>
      <protection/>
    </xf>
    <xf numFmtId="0" fontId="17" fillId="2" borderId="105" xfId="0" applyFont="1" applyFill="1" applyBorder="1" applyAlignment="1" applyProtection="1">
      <alignment horizontal="center" vertical="center" wrapText="1"/>
      <protection/>
    </xf>
    <xf numFmtId="0" fontId="8" fillId="2" borderId="103" xfId="0" applyFont="1" applyFill="1" applyBorder="1" applyAlignment="1" applyProtection="1">
      <alignment horizontal="center" vertical="center" wrapText="1"/>
      <protection/>
    </xf>
    <xf numFmtId="0" fontId="8" fillId="2" borderId="105" xfId="0" applyFont="1" applyFill="1" applyBorder="1" applyAlignment="1" applyProtection="1">
      <alignment horizontal="center" vertical="center" wrapText="1"/>
      <protection/>
    </xf>
    <xf numFmtId="0" fontId="1" fillId="2" borderId="80" xfId="0" applyFont="1" applyFill="1" applyBorder="1" applyAlignment="1" applyProtection="1">
      <alignment horizontal="left" vertical="center" wrapText="1"/>
      <protection/>
    </xf>
    <xf numFmtId="0" fontId="1" fillId="2" borderId="36" xfId="0" applyFont="1" applyFill="1" applyBorder="1" applyAlignment="1" applyProtection="1">
      <alignment horizontal="left" vertical="center" wrapText="1"/>
      <protection/>
    </xf>
    <xf numFmtId="0" fontId="1" fillId="2" borderId="79" xfId="0" applyFont="1" applyFill="1" applyBorder="1" applyAlignment="1" applyProtection="1">
      <alignment horizontal="left" vertical="center" wrapText="1"/>
      <protection/>
    </xf>
    <xf numFmtId="0" fontId="1" fillId="2" borderId="52" xfId="0" applyFont="1" applyFill="1" applyBorder="1" applyAlignment="1" applyProtection="1">
      <alignment horizontal="left" vertical="center" wrapText="1"/>
      <protection/>
    </xf>
    <xf numFmtId="0" fontId="1" fillId="2" borderId="38" xfId="0" applyFont="1" applyFill="1" applyBorder="1" applyAlignment="1" applyProtection="1">
      <alignment horizontal="left" vertical="center" wrapText="1"/>
      <protection/>
    </xf>
    <xf numFmtId="0" fontId="1" fillId="2" borderId="60" xfId="0" applyFont="1" applyFill="1" applyBorder="1" applyAlignment="1" applyProtection="1">
      <alignment horizontal="left" vertical="center" wrapText="1"/>
      <protection/>
    </xf>
    <xf numFmtId="0" fontId="8" fillId="2" borderId="39" xfId="0" applyFont="1" applyFill="1" applyBorder="1" applyAlignment="1" applyProtection="1">
      <alignment horizontal="center" vertical="center" wrapText="1"/>
      <protection/>
    </xf>
    <xf numFmtId="0" fontId="8" fillId="2" borderId="4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43" xfId="0" applyFont="1" applyFill="1" applyBorder="1" applyAlignment="1" applyProtection="1">
      <alignment horizontal="center" vertical="center" wrapText="1"/>
      <protection/>
    </xf>
    <xf numFmtId="0" fontId="8" fillId="2" borderId="38" xfId="0" applyFont="1" applyFill="1" applyBorder="1" applyAlignment="1" applyProtection="1">
      <alignment horizontal="center" vertical="center" wrapText="1"/>
      <protection/>
    </xf>
    <xf numFmtId="0" fontId="8" fillId="2" borderId="44" xfId="0" applyFont="1" applyFill="1" applyBorder="1" applyAlignment="1" applyProtection="1">
      <alignment horizontal="center" vertical="center" wrapText="1"/>
      <protection/>
    </xf>
    <xf numFmtId="0" fontId="12" fillId="36" borderId="80" xfId="0" applyFont="1" applyFill="1" applyBorder="1" applyAlignment="1" applyProtection="1">
      <alignment horizontal="left" vertical="top"/>
      <protection locked="0"/>
    </xf>
    <xf numFmtId="0" fontId="12" fillId="36" borderId="36" xfId="0" applyFont="1" applyFill="1" applyBorder="1" applyAlignment="1" applyProtection="1">
      <alignment horizontal="left" vertical="top"/>
      <protection locked="0"/>
    </xf>
    <xf numFmtId="0" fontId="12" fillId="36" borderId="79" xfId="0" applyFont="1" applyFill="1" applyBorder="1" applyAlignment="1" applyProtection="1">
      <alignment horizontal="left" vertical="top"/>
      <protection locked="0"/>
    </xf>
    <xf numFmtId="0" fontId="3" fillId="36" borderId="39" xfId="0" applyFont="1" applyFill="1" applyBorder="1" applyAlignment="1" applyProtection="1">
      <alignment horizontal="center" vertical="center"/>
      <protection locked="0"/>
    </xf>
    <xf numFmtId="0" fontId="3" fillId="36" borderId="66" xfId="0" applyFont="1" applyFill="1" applyBorder="1" applyAlignment="1" applyProtection="1">
      <alignment horizontal="center" vertical="center"/>
      <protection locked="0"/>
    </xf>
    <xf numFmtId="0" fontId="3" fillId="2" borderId="39" xfId="0" applyFont="1" applyFill="1" applyBorder="1" applyAlignment="1" applyProtection="1">
      <alignment horizontal="left" vertical="center"/>
      <protection/>
    </xf>
    <xf numFmtId="0" fontId="3" fillId="2" borderId="111" xfId="0" applyFont="1" applyFill="1" applyBorder="1" applyAlignment="1" applyProtection="1">
      <alignment horizontal="left" vertical="center"/>
      <protection/>
    </xf>
    <xf numFmtId="0" fontId="3" fillId="2" borderId="66" xfId="0" applyFont="1" applyFill="1" applyBorder="1" applyAlignment="1" applyProtection="1">
      <alignment horizontal="left" vertical="center"/>
      <protection/>
    </xf>
    <xf numFmtId="0" fontId="3" fillId="2" borderId="57" xfId="0" applyFont="1" applyFill="1" applyBorder="1" applyAlignment="1" applyProtection="1">
      <alignment horizontal="left" vertical="center"/>
      <protection/>
    </xf>
    <xf numFmtId="0" fontId="12" fillId="36" borderId="14" xfId="0" applyFont="1" applyFill="1" applyBorder="1" applyAlignment="1" applyProtection="1">
      <alignment horizontal="center" vertical="center"/>
      <protection locked="0"/>
    </xf>
    <xf numFmtId="0" fontId="12" fillId="36" borderId="66" xfId="0" applyFont="1" applyFill="1" applyBorder="1" applyAlignment="1" applyProtection="1">
      <alignment horizontal="center" vertical="center"/>
      <protection locked="0"/>
    </xf>
    <xf numFmtId="0" fontId="12" fillId="36" borderId="57" xfId="0" applyFont="1" applyFill="1" applyBorder="1" applyAlignment="1" applyProtection="1">
      <alignment horizontal="center" vertical="center"/>
      <protection locked="0"/>
    </xf>
    <xf numFmtId="0" fontId="26" fillId="36" borderId="103" xfId="0" applyFont="1" applyFill="1" applyBorder="1" applyAlignment="1" applyProtection="1">
      <alignment horizontal="center" vertical="center"/>
      <protection/>
    </xf>
    <xf numFmtId="0" fontId="26" fillId="36" borderId="112" xfId="0" applyFont="1" applyFill="1" applyBorder="1" applyAlignment="1" applyProtection="1">
      <alignment horizontal="center" vertical="center"/>
      <protection/>
    </xf>
    <xf numFmtId="0" fontId="0" fillId="25" borderId="108" xfId="0" applyFill="1" applyBorder="1" applyAlignment="1" applyProtection="1">
      <alignment horizontal="left"/>
      <protection/>
    </xf>
    <xf numFmtId="0" fontId="13" fillId="2" borderId="39" xfId="0" applyFont="1" applyFill="1" applyBorder="1" applyAlignment="1" applyProtection="1">
      <alignment horizontal="left" vertical="center"/>
      <protection/>
    </xf>
    <xf numFmtId="0" fontId="13" fillId="2" borderId="66" xfId="0" applyFont="1" applyFill="1" applyBorder="1" applyAlignment="1" applyProtection="1">
      <alignment horizontal="left" vertical="center"/>
      <protection/>
    </xf>
    <xf numFmtId="0" fontId="12" fillId="36" borderId="80" xfId="0" applyFont="1" applyFill="1" applyBorder="1" applyAlignment="1" applyProtection="1">
      <alignment horizontal="left" vertical="center"/>
      <protection locked="0"/>
    </xf>
    <xf numFmtId="0" fontId="12" fillId="36" borderId="36" xfId="0" applyFont="1" applyFill="1" applyBorder="1" applyAlignment="1" applyProtection="1">
      <alignment horizontal="left" vertical="center"/>
      <protection locked="0"/>
    </xf>
    <xf numFmtId="0" fontId="12" fillId="36" borderId="79" xfId="0" applyFont="1" applyFill="1" applyBorder="1" applyAlignment="1" applyProtection="1">
      <alignment horizontal="left" vertical="center"/>
      <protection locked="0"/>
    </xf>
    <xf numFmtId="0" fontId="0" fillId="36" borderId="76" xfId="0" applyFill="1" applyBorder="1" applyAlignment="1" applyProtection="1">
      <alignment horizontal="left" vertical="top"/>
      <protection locked="0"/>
    </xf>
    <xf numFmtId="0" fontId="0" fillId="36" borderId="39" xfId="0" applyFill="1" applyBorder="1" applyAlignment="1" applyProtection="1">
      <alignment horizontal="left" vertical="top"/>
      <protection locked="0"/>
    </xf>
    <xf numFmtId="0" fontId="0" fillId="36" borderId="40" xfId="0" applyFill="1" applyBorder="1" applyAlignment="1" applyProtection="1">
      <alignment horizontal="left" vertical="top"/>
      <protection locked="0"/>
    </xf>
    <xf numFmtId="0" fontId="0" fillId="36" borderId="37"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43" xfId="0" applyFill="1" applyBorder="1" applyAlignment="1" applyProtection="1">
      <alignment horizontal="left" vertical="top"/>
      <protection locked="0"/>
    </xf>
    <xf numFmtId="0" fontId="13" fillId="36" borderId="39" xfId="0" applyFont="1" applyFill="1" applyBorder="1" applyAlignment="1" applyProtection="1">
      <alignment horizontal="center" vertical="center"/>
      <protection locked="0"/>
    </xf>
    <xf numFmtId="0" fontId="13" fillId="36" borderId="66" xfId="0" applyFont="1" applyFill="1" applyBorder="1" applyAlignment="1" applyProtection="1">
      <alignment horizontal="center" vertical="center"/>
      <protection locked="0"/>
    </xf>
    <xf numFmtId="0" fontId="0" fillId="2" borderId="107" xfId="0" applyFill="1" applyBorder="1" applyAlignment="1" applyProtection="1">
      <alignment horizontal="center" vertical="center"/>
      <protection/>
    </xf>
    <xf numFmtId="0" fontId="0" fillId="2" borderId="108" xfId="0" applyFill="1" applyBorder="1" applyAlignment="1" applyProtection="1">
      <alignment horizontal="center" vertical="center"/>
      <protection/>
    </xf>
    <xf numFmtId="0" fontId="0" fillId="2" borderId="109" xfId="0" applyFill="1" applyBorder="1" applyAlignment="1" applyProtection="1">
      <alignment horizontal="center" vertical="center"/>
      <protection/>
    </xf>
    <xf numFmtId="0" fontId="0" fillId="36" borderId="41" xfId="0" applyFill="1" applyBorder="1" applyAlignment="1" applyProtection="1">
      <alignment horizontal="left" vertical="top"/>
      <protection locked="0"/>
    </xf>
    <xf numFmtId="0" fontId="0" fillId="36" borderId="38" xfId="0" applyFill="1" applyBorder="1" applyAlignment="1" applyProtection="1">
      <alignment horizontal="left" vertical="top"/>
      <protection locked="0"/>
    </xf>
    <xf numFmtId="0" fontId="0" fillId="36" borderId="44" xfId="0" applyFill="1" applyBorder="1" applyAlignment="1" applyProtection="1">
      <alignment horizontal="left" vertical="top"/>
      <protection locked="0"/>
    </xf>
    <xf numFmtId="0" fontId="0" fillId="2" borderId="16" xfId="0" applyFill="1" applyBorder="1" applyAlignment="1" applyProtection="1">
      <alignment horizontal="center" vertical="center"/>
      <protection/>
    </xf>
    <xf numFmtId="0" fontId="0" fillId="2" borderId="18" xfId="0" applyFill="1" applyBorder="1" applyAlignment="1" applyProtection="1">
      <alignment horizontal="center" vertical="center"/>
      <protection/>
    </xf>
    <xf numFmtId="0" fontId="22" fillId="2" borderId="113" xfId="0" applyFont="1" applyFill="1" applyBorder="1" applyAlignment="1" applyProtection="1">
      <alignment horizontal="center" vertical="center" wrapText="1"/>
      <protection/>
    </xf>
    <xf numFmtId="0" fontId="22" fillId="2" borderId="18" xfId="0" applyFont="1" applyFill="1" applyBorder="1" applyAlignment="1" applyProtection="1">
      <alignment horizontal="center" vertical="center" wrapText="1"/>
      <protection/>
    </xf>
    <xf numFmtId="0" fontId="22" fillId="2" borderId="1" xfId="0" applyFont="1" applyFill="1" applyBorder="1" applyAlignment="1" applyProtection="1">
      <alignment horizontal="center" vertical="center" wrapText="1"/>
      <protection/>
    </xf>
    <xf numFmtId="210" fontId="0" fillId="36" borderId="114" xfId="0" applyNumberFormat="1" applyFill="1" applyBorder="1" applyAlignment="1" applyProtection="1">
      <alignment horizontal="right" vertical="center" wrapText="1"/>
      <protection locked="0"/>
    </xf>
    <xf numFmtId="210" fontId="0" fillId="36" borderId="73" xfId="0" applyNumberFormat="1" applyFill="1" applyBorder="1" applyAlignment="1" applyProtection="1">
      <alignment horizontal="right" vertical="center" wrapText="1"/>
      <protection locked="0"/>
    </xf>
    <xf numFmtId="210" fontId="0" fillId="36" borderId="53" xfId="0" applyNumberFormat="1" applyFill="1" applyBorder="1" applyAlignment="1" applyProtection="1">
      <alignment horizontal="right" vertical="center" wrapText="1"/>
      <protection locked="0"/>
    </xf>
    <xf numFmtId="0" fontId="0" fillId="2" borderId="63" xfId="0" applyFill="1" applyBorder="1" applyAlignment="1" applyProtection="1">
      <alignment vertical="center"/>
      <protection/>
    </xf>
    <xf numFmtId="0" fontId="0" fillId="25" borderId="0" xfId="0" applyFill="1" applyBorder="1" applyAlignment="1" applyProtection="1">
      <alignment horizontal="center" vertical="center" wrapText="1"/>
      <protection locked="0"/>
    </xf>
    <xf numFmtId="207" fontId="0" fillId="25" borderId="0" xfId="0" applyNumberFormat="1" applyFill="1" applyBorder="1" applyAlignment="1" applyProtection="1">
      <alignment horizontal="center" vertical="center"/>
      <protection locked="0"/>
    </xf>
    <xf numFmtId="0" fontId="26" fillId="36" borderId="16" xfId="0" applyFont="1" applyFill="1" applyBorder="1" applyAlignment="1" applyProtection="1">
      <alignment horizontal="center" vertical="center"/>
      <protection/>
    </xf>
    <xf numFmtId="0" fontId="26" fillId="36" borderId="1" xfId="0" applyFont="1" applyFill="1" applyBorder="1" applyAlignment="1" applyProtection="1">
      <alignment horizontal="center" vertical="center"/>
      <protection/>
    </xf>
    <xf numFmtId="0" fontId="33" fillId="25" borderId="0" xfId="0" applyFont="1" applyFill="1" applyBorder="1" applyAlignment="1" applyProtection="1">
      <alignment horizontal="center" vertical="center"/>
      <protection/>
    </xf>
    <xf numFmtId="0" fontId="33" fillId="25" borderId="43" xfId="0" applyFont="1" applyFill="1" applyBorder="1" applyAlignment="1" applyProtection="1">
      <alignment horizontal="center" vertical="center"/>
      <protection/>
    </xf>
    <xf numFmtId="0" fontId="0" fillId="2" borderId="48" xfId="0" applyFill="1" applyBorder="1" applyAlignment="1" applyProtection="1">
      <alignment horizontal="center" vertical="center"/>
      <protection/>
    </xf>
    <xf numFmtId="0" fontId="34" fillId="25" borderId="80" xfId="0" applyFont="1" applyFill="1" applyBorder="1" applyAlignment="1">
      <alignment horizontal="center" vertical="center"/>
    </xf>
    <xf numFmtId="0" fontId="34" fillId="25" borderId="79"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57" xfId="0" applyFont="1" applyFill="1" applyBorder="1" applyAlignment="1">
      <alignment horizontal="center" vertical="center"/>
    </xf>
    <xf numFmtId="38" fontId="0" fillId="0" borderId="26" xfId="0" applyNumberFormat="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25" borderId="11" xfId="0" applyFill="1" applyBorder="1" applyAlignment="1">
      <alignment horizontal="center" vertical="center"/>
    </xf>
    <xf numFmtId="38" fontId="0" fillId="0" borderId="71" xfId="0" applyNumberFormat="1" applyBorder="1" applyAlignment="1">
      <alignment horizontal="center" vertical="center"/>
    </xf>
    <xf numFmtId="0" fontId="5" fillId="10" borderId="11" xfId="0" applyFont="1" applyFill="1" applyBorder="1" applyAlignment="1">
      <alignment horizontal="center" vertical="center"/>
    </xf>
    <xf numFmtId="0" fontId="5" fillId="35" borderId="11" xfId="0" applyFont="1" applyFill="1" applyBorder="1" applyAlignment="1">
      <alignment horizontal="center" vertical="center"/>
    </xf>
    <xf numFmtId="0" fontId="0" fillId="25" borderId="19" xfId="0" applyFill="1" applyBorder="1" applyAlignment="1">
      <alignment horizontal="center" vertical="center"/>
    </xf>
    <xf numFmtId="0" fontId="0" fillId="25" borderId="20"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25" borderId="13" xfId="0" applyFill="1" applyBorder="1" applyAlignment="1">
      <alignment horizontal="center" vertical="center"/>
    </xf>
    <xf numFmtId="0" fontId="0" fillId="25" borderId="63" xfId="0" applyFill="1" applyBorder="1" applyAlignment="1">
      <alignment horizontal="center" vertical="center"/>
    </xf>
    <xf numFmtId="0" fontId="0" fillId="25" borderId="15"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38" xfId="0" applyFont="1" applyFill="1" applyBorder="1" applyAlignment="1" applyProtection="1">
      <alignment horizontal="left" vertical="center"/>
      <protection/>
    </xf>
    <xf numFmtId="0" fontId="5" fillId="25" borderId="38" xfId="0" applyFont="1" applyFill="1" applyBorder="1" applyAlignment="1" applyProtection="1">
      <alignment horizontal="right" vertical="center"/>
      <protection/>
    </xf>
    <xf numFmtId="0" fontId="5" fillId="2" borderId="76" xfId="0" applyFont="1" applyFill="1" applyBorder="1" applyAlignment="1" applyProtection="1">
      <alignment horizontal="center" vertical="center" wrapText="1"/>
      <protection/>
    </xf>
    <xf numFmtId="0" fontId="5" fillId="2" borderId="39"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6" fillId="2" borderId="39" xfId="0" applyFont="1" applyFill="1" applyBorder="1" applyAlignment="1" applyProtection="1">
      <alignment horizontal="center" vertical="center" wrapText="1"/>
      <protection/>
    </xf>
    <xf numFmtId="0" fontId="5" fillId="2" borderId="76"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protection/>
    </xf>
    <xf numFmtId="0" fontId="5" fillId="2" borderId="40"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5" fillId="2" borderId="43" xfId="0" applyFont="1" applyFill="1" applyBorder="1" applyAlignment="1" applyProtection="1">
      <alignment horizontal="center" vertical="center"/>
      <protection/>
    </xf>
    <xf numFmtId="0" fontId="5" fillId="2" borderId="41" xfId="0" applyFont="1" applyFill="1" applyBorder="1" applyAlignment="1" applyProtection="1">
      <alignment horizontal="center" vertical="center"/>
      <protection/>
    </xf>
    <xf numFmtId="0" fontId="5" fillId="2" borderId="38" xfId="0" applyFont="1" applyFill="1" applyBorder="1" applyAlignment="1" applyProtection="1">
      <alignment horizontal="center" vertical="center"/>
      <protection/>
    </xf>
    <xf numFmtId="0" fontId="5" fillId="2" borderId="44" xfId="0"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2975"/>
          <c:w val="0.9805"/>
          <c:h val="0.837"/>
        </c:manualLayout>
      </c:layout>
      <c:barChart>
        <c:barDir val="col"/>
        <c:grouping val="clustered"/>
        <c:varyColors val="0"/>
        <c:ser>
          <c:idx val="0"/>
          <c:order val="0"/>
          <c:tx>
            <c:v>収入</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シート１!$O$26:$O$50</c:f>
              <c:numCache>
                <c:ptCount val="25"/>
                <c:pt idx="0">
                  <c:v>330</c:v>
                </c:pt>
                <c:pt idx="1">
                  <c:v>330</c:v>
                </c:pt>
                <c:pt idx="2">
                  <c:v>400</c:v>
                </c:pt>
                <c:pt idx="3">
                  <c:v>2200</c:v>
                </c:pt>
                <c:pt idx="4">
                  <c:v>500</c:v>
                </c:pt>
                <c:pt idx="5">
                  <c:v>500</c:v>
                </c:pt>
                <c:pt idx="6">
                  <c:v>500</c:v>
                </c:pt>
                <c:pt idx="7">
                  <c:v>500</c:v>
                </c:pt>
                <c:pt idx="8">
                  <c:v>500</c:v>
                </c:pt>
                <c:pt idx="9">
                  <c:v>500</c:v>
                </c:pt>
                <c:pt idx="10">
                  <c:v>500</c:v>
                </c:pt>
                <c:pt idx="11">
                  <c:v>500</c:v>
                </c:pt>
                <c:pt idx="12">
                  <c:v>500</c:v>
                </c:pt>
                <c:pt idx="13">
                  <c:v>450</c:v>
                </c:pt>
                <c:pt idx="14">
                  <c:v>450</c:v>
                </c:pt>
                <c:pt idx="15">
                  <c:v>450</c:v>
                </c:pt>
                <c:pt idx="16">
                  <c:v>450</c:v>
                </c:pt>
                <c:pt idx="17">
                  <c:v>450</c:v>
                </c:pt>
                <c:pt idx="18">
                  <c:v>160</c:v>
                </c:pt>
                <c:pt idx="19">
                  <c:v>160</c:v>
                </c:pt>
                <c:pt idx="20">
                  <c:v>260</c:v>
                </c:pt>
                <c:pt idx="21">
                  <c:v>260</c:v>
                </c:pt>
                <c:pt idx="22">
                  <c:v>260</c:v>
                </c:pt>
                <c:pt idx="23">
                  <c:v>260</c:v>
                </c:pt>
                <c:pt idx="24">
                  <c:v>260</c:v>
                </c:pt>
              </c:numCache>
            </c:numRef>
          </c:val>
        </c:ser>
        <c:ser>
          <c:idx val="1"/>
          <c:order val="1"/>
          <c:tx>
            <c:v>支出</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シート１!$X$26:$X$50</c:f>
              <c:numCache>
                <c:ptCount val="25"/>
                <c:pt idx="0">
                  <c:v>358</c:v>
                </c:pt>
                <c:pt idx="1">
                  <c:v>362</c:v>
                </c:pt>
                <c:pt idx="2">
                  <c:v>362</c:v>
                </c:pt>
                <c:pt idx="3">
                  <c:v>2269.7290126132884</c:v>
                </c:pt>
                <c:pt idx="4">
                  <c:v>623.6490126132884</c:v>
                </c:pt>
                <c:pt idx="5">
                  <c:v>595.6490126132885</c:v>
                </c:pt>
                <c:pt idx="6">
                  <c:v>595.6490126132885</c:v>
                </c:pt>
                <c:pt idx="7">
                  <c:v>599.3240126132885</c:v>
                </c:pt>
                <c:pt idx="8">
                  <c:v>427.85567927995515</c:v>
                </c:pt>
                <c:pt idx="9">
                  <c:v>427.85567927995515</c:v>
                </c:pt>
                <c:pt idx="10">
                  <c:v>432.9190126132885</c:v>
                </c:pt>
                <c:pt idx="11">
                  <c:v>432.9190126132885</c:v>
                </c:pt>
                <c:pt idx="12">
                  <c:v>432.9190126132885</c:v>
                </c:pt>
                <c:pt idx="13">
                  <c:v>432.9190126132885</c:v>
                </c:pt>
                <c:pt idx="14">
                  <c:v>432.9190126132885</c:v>
                </c:pt>
                <c:pt idx="15">
                  <c:v>432.9190126132885</c:v>
                </c:pt>
                <c:pt idx="16">
                  <c:v>432.9190126132885</c:v>
                </c:pt>
                <c:pt idx="17">
                  <c:v>432.19</c:v>
                </c:pt>
                <c:pt idx="18">
                  <c:v>253.19</c:v>
                </c:pt>
                <c:pt idx="19">
                  <c:v>453.19</c:v>
                </c:pt>
                <c:pt idx="20">
                  <c:v>253.19</c:v>
                </c:pt>
                <c:pt idx="21">
                  <c:v>253.19</c:v>
                </c:pt>
                <c:pt idx="22">
                  <c:v>253.19</c:v>
                </c:pt>
                <c:pt idx="23">
                  <c:v>253.19</c:v>
                </c:pt>
                <c:pt idx="24">
                  <c:v>253.19</c:v>
                </c:pt>
              </c:numCache>
            </c:numRef>
          </c:val>
        </c:ser>
        <c:axId val="30693255"/>
        <c:axId val="7803840"/>
      </c:barChart>
      <c:lineChart>
        <c:grouping val="standard"/>
        <c:varyColors val="0"/>
        <c:ser>
          <c:idx val="2"/>
          <c:order val="2"/>
          <c:tx>
            <c:v>収支</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val>
            <c:numRef>
              <c:f>シート１!$Y$26:$Y$50</c:f>
              <c:numCache>
                <c:ptCount val="25"/>
                <c:pt idx="0">
                  <c:v>-28</c:v>
                </c:pt>
                <c:pt idx="1">
                  <c:v>-32</c:v>
                </c:pt>
                <c:pt idx="2">
                  <c:v>38</c:v>
                </c:pt>
                <c:pt idx="3">
                  <c:v>-69.72901261328843</c:v>
                </c:pt>
                <c:pt idx="4">
                  <c:v>-123.64901261328839</c:v>
                </c:pt>
                <c:pt idx="5">
                  <c:v>-95.6490126132885</c:v>
                </c:pt>
                <c:pt idx="6">
                  <c:v>-95.6490126132885</c:v>
                </c:pt>
                <c:pt idx="7">
                  <c:v>-99.32401261328846</c:v>
                </c:pt>
                <c:pt idx="8">
                  <c:v>72.14432072004485</c:v>
                </c:pt>
                <c:pt idx="9">
                  <c:v>72.14432072004485</c:v>
                </c:pt>
                <c:pt idx="10">
                  <c:v>67.08098738671151</c:v>
                </c:pt>
                <c:pt idx="11">
                  <c:v>67.08098738671151</c:v>
                </c:pt>
                <c:pt idx="12">
                  <c:v>67.08098738671151</c:v>
                </c:pt>
                <c:pt idx="13">
                  <c:v>17.080987386711513</c:v>
                </c:pt>
                <c:pt idx="14">
                  <c:v>17.080987386711513</c:v>
                </c:pt>
                <c:pt idx="15">
                  <c:v>17.080987386711513</c:v>
                </c:pt>
                <c:pt idx="16">
                  <c:v>17.080987386711513</c:v>
                </c:pt>
                <c:pt idx="17">
                  <c:v>17.810000000000002</c:v>
                </c:pt>
                <c:pt idx="18">
                  <c:v>-93.19</c:v>
                </c:pt>
                <c:pt idx="19">
                  <c:v>-293.19</c:v>
                </c:pt>
                <c:pt idx="20">
                  <c:v>6.810000000000002</c:v>
                </c:pt>
                <c:pt idx="21">
                  <c:v>6.810000000000002</c:v>
                </c:pt>
                <c:pt idx="22">
                  <c:v>6.810000000000002</c:v>
                </c:pt>
                <c:pt idx="23">
                  <c:v>6.810000000000002</c:v>
                </c:pt>
                <c:pt idx="24">
                  <c:v>6.810000000000002</c:v>
                </c:pt>
              </c:numCache>
            </c:numRef>
          </c:val>
          <c:smooth val="0"/>
        </c:ser>
        <c:ser>
          <c:idx val="3"/>
          <c:order val="3"/>
          <c:tx>
            <c:v>貯蓄残高</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val>
            <c:numRef>
              <c:f>シート１!$Z$26:$Z$50</c:f>
              <c:numCache>
                <c:ptCount val="25"/>
                <c:pt idx="0">
                  <c:v>572</c:v>
                </c:pt>
                <c:pt idx="1">
                  <c:v>540</c:v>
                </c:pt>
                <c:pt idx="2">
                  <c:v>578</c:v>
                </c:pt>
                <c:pt idx="3">
                  <c:v>508.27098738671157</c:v>
                </c:pt>
                <c:pt idx="4">
                  <c:v>384.6219747734232</c:v>
                </c:pt>
                <c:pt idx="5">
                  <c:v>288.97296216013467</c:v>
                </c:pt>
                <c:pt idx="6">
                  <c:v>193.32394954684617</c:v>
                </c:pt>
                <c:pt idx="7">
                  <c:v>93.9999369335577</c:v>
                </c:pt>
                <c:pt idx="8">
                  <c:v>166.14425765360255</c:v>
                </c:pt>
                <c:pt idx="9">
                  <c:v>238.28857837364745</c:v>
                </c:pt>
                <c:pt idx="10">
                  <c:v>305.3695657603589</c:v>
                </c:pt>
                <c:pt idx="11">
                  <c:v>372.4505531470704</c:v>
                </c:pt>
                <c:pt idx="12">
                  <c:v>439.53154053378194</c:v>
                </c:pt>
                <c:pt idx="13">
                  <c:v>456.61252792049345</c:v>
                </c:pt>
                <c:pt idx="14">
                  <c:v>473.69351530720496</c:v>
                </c:pt>
                <c:pt idx="15">
                  <c:v>490.7745026939165</c:v>
                </c:pt>
                <c:pt idx="16">
                  <c:v>507.855490080628</c:v>
                </c:pt>
                <c:pt idx="17">
                  <c:v>525.6654900806279</c:v>
                </c:pt>
                <c:pt idx="18">
                  <c:v>432.47549008062794</c:v>
                </c:pt>
                <c:pt idx="19">
                  <c:v>139.28549008062788</c:v>
                </c:pt>
                <c:pt idx="20">
                  <c:v>146.09549008062788</c:v>
                </c:pt>
                <c:pt idx="21">
                  <c:v>152.90549008062789</c:v>
                </c:pt>
                <c:pt idx="22">
                  <c:v>159.7154900806279</c:v>
                </c:pt>
                <c:pt idx="23">
                  <c:v>166.5254900806279</c:v>
                </c:pt>
                <c:pt idx="24">
                  <c:v>173.3354900806279</c:v>
                </c:pt>
              </c:numCache>
            </c:numRef>
          </c:val>
          <c:smooth val="0"/>
        </c:ser>
        <c:ser>
          <c:idx val="4"/>
          <c:order val="4"/>
          <c:tx>
            <c:v>ローン残高</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val>
            <c:numRef>
              <c:f>シート１!$AA$26:$AA$50</c:f>
              <c:numCache>
                <c:ptCount val="25"/>
                <c:pt idx="0">
                  <c:v>0</c:v>
                </c:pt>
                <c:pt idx="1">
                  <c:v>0</c:v>
                </c:pt>
                <c:pt idx="2">
                  <c:v>0</c:v>
                </c:pt>
                <c:pt idx="3">
                  <c:v>1407</c:v>
                </c:pt>
                <c:pt idx="4">
                  <c:v>1313</c:v>
                </c:pt>
                <c:pt idx="5">
                  <c:v>1218</c:v>
                </c:pt>
                <c:pt idx="6">
                  <c:v>1122</c:v>
                </c:pt>
                <c:pt idx="7">
                  <c:v>1025</c:v>
                </c:pt>
                <c:pt idx="8">
                  <c:v>927</c:v>
                </c:pt>
                <c:pt idx="9">
                  <c:v>828</c:v>
                </c:pt>
                <c:pt idx="10">
                  <c:v>728</c:v>
                </c:pt>
                <c:pt idx="11">
                  <c:v>627</c:v>
                </c:pt>
                <c:pt idx="12">
                  <c:v>525</c:v>
                </c:pt>
                <c:pt idx="13">
                  <c:v>422</c:v>
                </c:pt>
                <c:pt idx="14">
                  <c:v>318</c:v>
                </c:pt>
                <c:pt idx="15">
                  <c:v>213</c:v>
                </c:pt>
                <c:pt idx="16">
                  <c:v>107</c:v>
                </c:pt>
                <c:pt idx="17">
                  <c:v>0</c:v>
                </c:pt>
                <c:pt idx="18">
                  <c:v>0</c:v>
                </c:pt>
                <c:pt idx="19">
                  <c:v>0</c:v>
                </c:pt>
                <c:pt idx="20">
                  <c:v>0</c:v>
                </c:pt>
                <c:pt idx="21">
                  <c:v>0</c:v>
                </c:pt>
                <c:pt idx="22">
                  <c:v>0</c:v>
                </c:pt>
                <c:pt idx="23">
                  <c:v>0</c:v>
                </c:pt>
                <c:pt idx="24">
                  <c:v>0</c:v>
                </c:pt>
              </c:numCache>
            </c:numRef>
          </c:val>
          <c:smooth val="0"/>
        </c:ser>
        <c:axId val="30693255"/>
        <c:axId val="7803840"/>
      </c:lineChart>
      <c:catAx>
        <c:axId val="30693255"/>
        <c:scaling>
          <c:orientation val="minMax"/>
        </c:scaling>
        <c:axPos val="b"/>
        <c:title>
          <c:tx>
            <c:rich>
              <a:bodyPr vert="horz" rot="0" anchor="ctr"/>
              <a:lstStyle/>
              <a:p>
                <a:pPr algn="ctr">
                  <a:defRPr/>
                </a:pPr>
                <a:r>
                  <a:rPr lang="en-US" cap="none" sz="1000" b="1" i="0" u="none" baseline="0">
                    <a:solidFill>
                      <a:srgbClr val="000000"/>
                    </a:solidFill>
                  </a:rPr>
                  <a:t>経過年数</a:t>
                </a:r>
              </a:p>
            </c:rich>
          </c:tx>
          <c:layout>
            <c:manualLayout>
              <c:xMode val="factor"/>
              <c:yMode val="factor"/>
              <c:x val="0.03075"/>
              <c:y val="0.0025"/>
            </c:manualLayout>
          </c:layout>
          <c:overlay val="0"/>
          <c:spPr>
            <a:noFill/>
            <a:ln>
              <a:noFill/>
            </a:ln>
          </c:spPr>
        </c:title>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7803840"/>
        <c:crosses val="autoZero"/>
        <c:auto val="1"/>
        <c:lblOffset val="100"/>
        <c:tickLblSkip val="1"/>
        <c:noMultiLvlLbl val="0"/>
      </c:catAx>
      <c:valAx>
        <c:axId val="780384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693255"/>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legend>
      <c:legendPos val="r"/>
      <c:layout>
        <c:manualLayout>
          <c:xMode val="edge"/>
          <c:yMode val="edge"/>
          <c:x val="0.32775"/>
          <c:y val="0.04575"/>
          <c:w val="0.30425"/>
          <c:h val="0.08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76200</xdr:rowOff>
    </xdr:from>
    <xdr:to>
      <xdr:col>9</xdr:col>
      <xdr:colOff>114300</xdr:colOff>
      <xdr:row>3</xdr:row>
      <xdr:rowOff>76200</xdr:rowOff>
    </xdr:to>
    <xdr:sp>
      <xdr:nvSpPr>
        <xdr:cNvPr id="1" name="Text Box 647"/>
        <xdr:cNvSpPr txBox="1">
          <a:spLocks noChangeArrowheads="1"/>
        </xdr:cNvSpPr>
      </xdr:nvSpPr>
      <xdr:spPr>
        <a:xfrm>
          <a:off x="171450" y="352425"/>
          <a:ext cx="3371850" cy="438150"/>
        </a:xfrm>
        <a:prstGeom prst="rect">
          <a:avLst/>
        </a:prstGeom>
        <a:solidFill>
          <a:srgbClr val="003366"/>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rPr>
            <a:t>ライフプラン表（ＬＰ表）</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0.527</cdr:y>
    </cdr:from>
    <cdr:to>
      <cdr:x>-0.00025</cdr:x>
      <cdr:y>0.534</cdr:y>
    </cdr:to>
    <cdr:sp>
      <cdr:nvSpPr>
        <cdr:cNvPr id="1" name="テキスト ボックス 1"/>
        <cdr:cNvSpPr txBox="1">
          <a:spLocks noChangeArrowheads="1"/>
        </cdr:cNvSpPr>
      </cdr:nvSpPr>
      <cdr:spPr>
        <a:xfrm rot="11252683" flipV="1">
          <a:off x="-9524" y="3581400"/>
          <a:ext cx="9525" cy="476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
          </a:r>
        </a:p>
      </cdr:txBody>
    </cdr:sp>
  </cdr:relSizeAnchor>
  <cdr:relSizeAnchor xmlns:cdr="http://schemas.openxmlformats.org/drawingml/2006/chartDrawing">
    <cdr:from>
      <cdr:x>0.062</cdr:x>
      <cdr:y>0.08025</cdr:y>
    </cdr:from>
    <cdr:to>
      <cdr:x>0.17175</cdr:x>
      <cdr:y>0.234</cdr:y>
    </cdr:to>
    <cdr:sp fLocksText="0">
      <cdr:nvSpPr>
        <cdr:cNvPr id="2" name="テキスト ボックス 2"/>
        <cdr:cNvSpPr txBox="1">
          <a:spLocks noChangeArrowheads="1"/>
        </cdr:cNvSpPr>
      </cdr:nvSpPr>
      <cdr:spPr>
        <a:xfrm>
          <a:off x="466725" y="542925"/>
          <a:ext cx="838200" cy="10477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0.0525</cdr:x>
      <cdr:y>0.08875</cdr:y>
    </cdr:from>
    <cdr:to>
      <cdr:x>0.13775</cdr:x>
      <cdr:y>0.1365</cdr:y>
    </cdr:to>
    <cdr:sp>
      <cdr:nvSpPr>
        <cdr:cNvPr id="3" name="テキスト ボックス 3"/>
        <cdr:cNvSpPr txBox="1">
          <a:spLocks noChangeArrowheads="1"/>
        </cdr:cNvSpPr>
      </cdr:nvSpPr>
      <cdr:spPr>
        <a:xfrm>
          <a:off x="400050" y="600075"/>
          <a:ext cx="647700" cy="323850"/>
        </a:xfrm>
        <a:prstGeom prst="rect">
          <a:avLst/>
        </a:prstGeom>
        <a:noFill/>
        <a:ln w="9525" cmpd="sng">
          <a:noFill/>
        </a:ln>
      </cdr:spPr>
      <cdr:txBody>
        <a:bodyPr vertOverflow="clip" wrap="square"/>
        <a:p>
          <a:pPr algn="l">
            <a:defRPr/>
          </a:pPr>
          <a:r>
            <a:rPr lang="en-US" cap="none" sz="800" b="0" i="0" u="none" baseline="0">
              <a:solidFill>
                <a:srgbClr val="000000"/>
              </a:solidFill>
            </a:rPr>
            <a:t>（単位：万円）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xdr:row>
      <xdr:rowOff>19050</xdr:rowOff>
    </xdr:from>
    <xdr:to>
      <xdr:col>13</xdr:col>
      <xdr:colOff>209550</xdr:colOff>
      <xdr:row>38</xdr:row>
      <xdr:rowOff>152400</xdr:rowOff>
    </xdr:to>
    <xdr:graphicFrame>
      <xdr:nvGraphicFramePr>
        <xdr:cNvPr id="1" name="グラフ 1"/>
        <xdr:cNvGraphicFramePr/>
      </xdr:nvGraphicFramePr>
      <xdr:xfrm>
        <a:off x="180975" y="590550"/>
        <a:ext cx="7620000" cy="68008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76200</xdr:rowOff>
    </xdr:from>
    <xdr:to>
      <xdr:col>7</xdr:col>
      <xdr:colOff>381000</xdr:colOff>
      <xdr:row>2</xdr:row>
      <xdr:rowOff>95250</xdr:rowOff>
    </xdr:to>
    <xdr:sp>
      <xdr:nvSpPr>
        <xdr:cNvPr id="2" name="Text Box 2"/>
        <xdr:cNvSpPr txBox="1">
          <a:spLocks noChangeArrowheads="1"/>
        </xdr:cNvSpPr>
      </xdr:nvSpPr>
      <xdr:spPr>
        <a:xfrm>
          <a:off x="104775" y="76200"/>
          <a:ext cx="4210050" cy="400050"/>
        </a:xfrm>
        <a:prstGeom prst="rect">
          <a:avLst/>
        </a:prstGeom>
        <a:solidFill>
          <a:srgbClr val="003366"/>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rPr>
            <a:t>ライフプラン表（ＬＰ表）シュミレーショングラフ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K89"/>
  <sheetViews>
    <sheetView tabSelected="1" zoomScale="70" zoomScaleNormal="70" workbookViewId="0" topLeftCell="A1">
      <selection activeCell="R3" sqref="R3"/>
    </sheetView>
  </sheetViews>
  <sheetFormatPr defaultColWidth="9.140625" defaultRowHeight="15"/>
  <cols>
    <col min="1" max="1" width="0.9921875" style="93" customWidth="1"/>
    <col min="2" max="2" width="4.140625" style="91" customWidth="1"/>
    <col min="3" max="3" width="12.28125" style="91" customWidth="1"/>
    <col min="4" max="4" width="12.7109375" style="91" customWidth="1"/>
    <col min="5" max="5" width="3.57421875" style="91" customWidth="1"/>
    <col min="6" max="10" width="4.421875" style="91" customWidth="1"/>
    <col min="11" max="11" width="8.28125" style="91" customWidth="1"/>
    <col min="12" max="24" width="8.421875" style="91" customWidth="1"/>
    <col min="25" max="27" width="8.421875" style="344" customWidth="1"/>
    <col min="28" max="29" width="8.421875" style="91" customWidth="1"/>
    <col min="30" max="30" width="2.57421875" style="91" customWidth="1"/>
    <col min="31" max="31" width="11.140625" style="91" hidden="1" customWidth="1"/>
    <col min="32" max="32" width="13.7109375" style="91" hidden="1" customWidth="1"/>
    <col min="33" max="33" width="3.421875" style="91" hidden="1" customWidth="1"/>
    <col min="34" max="34" width="4.140625" style="91" hidden="1" customWidth="1"/>
    <col min="35" max="35" width="9.00390625" style="91" hidden="1" customWidth="1"/>
    <col min="36" max="16384" width="9.00390625" style="91" customWidth="1"/>
  </cols>
  <sheetData>
    <row r="1" spans="1:30" s="88" customFormat="1" ht="21.75" customHeight="1" thickBot="1">
      <c r="A1" s="245" t="s">
        <v>273</v>
      </c>
      <c r="N1" s="105"/>
      <c r="O1" s="105"/>
      <c r="P1" s="105"/>
      <c r="Q1" s="106"/>
      <c r="R1" s="293"/>
      <c r="S1" s="293"/>
      <c r="T1" s="293"/>
      <c r="U1" s="293"/>
      <c r="V1" s="293"/>
      <c r="Y1" s="295"/>
      <c r="Z1" s="295"/>
      <c r="AA1" s="295"/>
      <c r="AD1" s="107"/>
    </row>
    <row r="2" spans="1:63" ht="17.25" customHeight="1" thickBot="1">
      <c r="A2" s="296" t="s">
        <v>223</v>
      </c>
      <c r="B2" s="290"/>
      <c r="C2" s="290"/>
      <c r="D2" s="290"/>
      <c r="E2" s="290"/>
      <c r="F2" s="290"/>
      <c r="G2" s="290"/>
      <c r="H2" s="290"/>
      <c r="I2" s="290"/>
      <c r="J2" s="290"/>
      <c r="K2" s="424"/>
      <c r="L2" s="110"/>
      <c r="M2" s="110"/>
      <c r="N2" s="110"/>
      <c r="O2" s="110"/>
      <c r="P2" s="110"/>
      <c r="Q2" s="111"/>
      <c r="R2" s="112"/>
      <c r="S2" s="426" t="s">
        <v>224</v>
      </c>
      <c r="T2" s="426"/>
      <c r="U2" s="426"/>
      <c r="V2" s="426"/>
      <c r="W2" s="290"/>
      <c r="X2" s="290"/>
      <c r="Y2" s="297"/>
      <c r="Z2" s="297"/>
      <c r="AA2" s="297"/>
      <c r="AB2" s="290"/>
      <c r="AC2" s="290"/>
      <c r="AD2" s="117"/>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row>
    <row r="3" spans="1:63" ht="17.25" customHeight="1" thickBot="1">
      <c r="A3" s="298" t="s">
        <v>225</v>
      </c>
      <c r="B3" s="106"/>
      <c r="C3" s="106"/>
      <c r="D3" s="106"/>
      <c r="E3" s="106"/>
      <c r="F3" s="106"/>
      <c r="G3" s="106"/>
      <c r="H3" s="106"/>
      <c r="I3" s="106"/>
      <c r="J3" s="106"/>
      <c r="K3" s="425"/>
      <c r="L3" s="248" t="s">
        <v>226</v>
      </c>
      <c r="M3" s="106"/>
      <c r="N3" s="113"/>
      <c r="O3" s="113"/>
      <c r="P3" s="113"/>
      <c r="Q3" s="114"/>
      <c r="R3" s="115"/>
      <c r="S3" s="432" t="s">
        <v>291</v>
      </c>
      <c r="T3" s="433"/>
      <c r="U3" s="433"/>
      <c r="V3" s="433"/>
      <c r="W3" s="433"/>
      <c r="X3" s="433"/>
      <c r="Y3" s="433"/>
      <c r="Z3" s="433"/>
      <c r="AA3" s="433"/>
      <c r="AB3" s="433"/>
      <c r="AC3" s="434"/>
      <c r="AD3" s="291"/>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row>
    <row r="4" spans="1:63" ht="14.25" customHeight="1" thickBot="1">
      <c r="A4" s="298" t="s">
        <v>227</v>
      </c>
      <c r="B4" s="293"/>
      <c r="C4" s="293"/>
      <c r="D4" s="293"/>
      <c r="E4" s="293"/>
      <c r="F4" s="293"/>
      <c r="G4" s="293"/>
      <c r="H4" s="293"/>
      <c r="I4" s="293"/>
      <c r="J4" s="293"/>
      <c r="K4" s="109"/>
      <c r="L4" s="109"/>
      <c r="M4" s="109"/>
      <c r="N4" s="109"/>
      <c r="O4" s="109"/>
      <c r="P4" s="109"/>
      <c r="Q4" s="116"/>
      <c r="R4" s="115"/>
      <c r="S4" s="435" t="s">
        <v>289</v>
      </c>
      <c r="T4" s="436"/>
      <c r="U4" s="436"/>
      <c r="V4" s="436"/>
      <c r="W4" s="436"/>
      <c r="X4" s="436"/>
      <c r="Y4" s="436"/>
      <c r="Z4" s="436"/>
      <c r="AA4" s="436"/>
      <c r="AB4" s="436"/>
      <c r="AC4" s="437"/>
      <c r="AD4" s="291"/>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row>
    <row r="5" spans="1:63" ht="13.5" customHeight="1">
      <c r="A5" s="298" t="s">
        <v>228</v>
      </c>
      <c r="B5" s="345"/>
      <c r="C5" s="122"/>
      <c r="D5" s="123"/>
      <c r="E5" s="438" t="s">
        <v>276</v>
      </c>
      <c r="F5" s="438"/>
      <c r="G5" s="438"/>
      <c r="H5" s="438"/>
      <c r="I5" s="427" t="s">
        <v>229</v>
      </c>
      <c r="J5" s="427"/>
      <c r="K5" s="427"/>
      <c r="L5" s="427"/>
      <c r="M5" s="427"/>
      <c r="N5" s="123"/>
      <c r="O5" s="123"/>
      <c r="P5" s="123"/>
      <c r="Q5" s="127"/>
      <c r="R5" s="115"/>
      <c r="S5" s="435" t="s">
        <v>290</v>
      </c>
      <c r="T5" s="436"/>
      <c r="U5" s="436"/>
      <c r="V5" s="436"/>
      <c r="W5" s="436"/>
      <c r="X5" s="436"/>
      <c r="Y5" s="436"/>
      <c r="Z5" s="436"/>
      <c r="AA5" s="436"/>
      <c r="AB5" s="436"/>
      <c r="AC5" s="437"/>
      <c r="AD5" s="291"/>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row>
    <row r="6" spans="1:63" ht="13.5" customHeight="1">
      <c r="A6" s="298" t="s">
        <v>230</v>
      </c>
      <c r="B6" s="124"/>
      <c r="C6" s="125"/>
      <c r="D6" s="125"/>
      <c r="E6" s="439"/>
      <c r="F6" s="439"/>
      <c r="G6" s="439"/>
      <c r="H6" s="439"/>
      <c r="I6" s="428"/>
      <c r="J6" s="428"/>
      <c r="K6" s="428"/>
      <c r="L6" s="428"/>
      <c r="M6" s="428"/>
      <c r="N6" s="125"/>
      <c r="O6" s="125"/>
      <c r="P6" s="125"/>
      <c r="Q6" s="299"/>
      <c r="R6" s="115"/>
      <c r="S6" s="435" t="s">
        <v>292</v>
      </c>
      <c r="T6" s="436"/>
      <c r="U6" s="436"/>
      <c r="V6" s="436"/>
      <c r="W6" s="436"/>
      <c r="X6" s="436"/>
      <c r="Y6" s="436"/>
      <c r="Z6" s="436"/>
      <c r="AA6" s="436"/>
      <c r="AB6" s="436"/>
      <c r="AC6" s="437"/>
      <c r="AD6" s="291"/>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row>
    <row r="7" spans="1:63" ht="13.5" customHeight="1">
      <c r="A7" s="298" t="s">
        <v>231</v>
      </c>
      <c r="B7" s="128"/>
      <c r="C7" s="429"/>
      <c r="D7" s="430"/>
      <c r="E7" s="430"/>
      <c r="F7" s="430"/>
      <c r="G7" s="430"/>
      <c r="H7" s="430"/>
      <c r="I7" s="430"/>
      <c r="J7" s="431"/>
      <c r="K7" s="412"/>
      <c r="L7" s="413"/>
      <c r="M7" s="413"/>
      <c r="N7" s="413"/>
      <c r="O7" s="413"/>
      <c r="P7" s="414"/>
      <c r="Q7" s="129"/>
      <c r="R7" s="106"/>
      <c r="S7" s="435" t="s">
        <v>293</v>
      </c>
      <c r="T7" s="436"/>
      <c r="U7" s="436"/>
      <c r="V7" s="436"/>
      <c r="W7" s="436"/>
      <c r="X7" s="436"/>
      <c r="Y7" s="436"/>
      <c r="Z7" s="436"/>
      <c r="AA7" s="436"/>
      <c r="AB7" s="436"/>
      <c r="AC7" s="437"/>
      <c r="AD7" s="291"/>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row>
    <row r="8" spans="1:63" ht="14.25" customHeight="1" thickBot="1">
      <c r="A8" s="298" t="s">
        <v>232</v>
      </c>
      <c r="B8" s="128"/>
      <c r="C8" s="375" t="s">
        <v>277</v>
      </c>
      <c r="D8" s="376"/>
      <c r="E8" s="376"/>
      <c r="F8" s="376"/>
      <c r="G8" s="376"/>
      <c r="H8" s="376"/>
      <c r="I8" s="376"/>
      <c r="J8" s="377"/>
      <c r="K8" s="378" t="s">
        <v>284</v>
      </c>
      <c r="L8" s="379"/>
      <c r="M8" s="379"/>
      <c r="N8" s="379"/>
      <c r="O8" s="379"/>
      <c r="P8" s="380"/>
      <c r="Q8" s="129"/>
      <c r="R8" s="106"/>
      <c r="S8" s="443"/>
      <c r="T8" s="444"/>
      <c r="U8" s="444"/>
      <c r="V8" s="444"/>
      <c r="W8" s="444"/>
      <c r="X8" s="444"/>
      <c r="Y8" s="444"/>
      <c r="Z8" s="444"/>
      <c r="AA8" s="444"/>
      <c r="AB8" s="444"/>
      <c r="AC8" s="445"/>
      <c r="AD8" s="291"/>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row>
    <row r="9" spans="1:63" ht="14.25" thickBot="1">
      <c r="A9" s="298" t="s">
        <v>233</v>
      </c>
      <c r="B9" s="128"/>
      <c r="C9" s="375" t="s">
        <v>278</v>
      </c>
      <c r="D9" s="376"/>
      <c r="E9" s="376"/>
      <c r="F9" s="376"/>
      <c r="G9" s="376"/>
      <c r="H9" s="376"/>
      <c r="I9" s="376"/>
      <c r="J9" s="377"/>
      <c r="K9" s="375"/>
      <c r="L9" s="376"/>
      <c r="M9" s="376"/>
      <c r="N9" s="376"/>
      <c r="O9" s="376"/>
      <c r="P9" s="377"/>
      <c r="Q9" s="129"/>
      <c r="R9" s="106"/>
      <c r="S9" s="106"/>
      <c r="T9" s="106"/>
      <c r="U9" s="106"/>
      <c r="V9" s="106"/>
      <c r="W9" s="106"/>
      <c r="X9" s="106"/>
      <c r="Y9" s="300"/>
      <c r="Z9" s="300"/>
      <c r="AA9" s="300"/>
      <c r="AB9" s="106"/>
      <c r="AC9" s="106"/>
      <c r="AD9" s="291"/>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row>
    <row r="10" spans="1:63" ht="13.5" customHeight="1" thickBot="1">
      <c r="A10" s="298" t="s">
        <v>234</v>
      </c>
      <c r="B10" s="128"/>
      <c r="C10" s="421"/>
      <c r="D10" s="422"/>
      <c r="E10" s="422"/>
      <c r="F10" s="422"/>
      <c r="G10" s="422"/>
      <c r="H10" s="422"/>
      <c r="I10" s="422"/>
      <c r="J10" s="423"/>
      <c r="K10" s="421"/>
      <c r="L10" s="422"/>
      <c r="M10" s="422"/>
      <c r="N10" s="422"/>
      <c r="O10" s="422"/>
      <c r="P10" s="423"/>
      <c r="Q10" s="129"/>
      <c r="R10" s="106"/>
      <c r="S10" s="440" t="s">
        <v>235</v>
      </c>
      <c r="T10" s="441"/>
      <c r="U10" s="441"/>
      <c r="V10" s="441"/>
      <c r="W10" s="442"/>
      <c r="X10" s="248"/>
      <c r="Y10" s="301"/>
      <c r="Z10" s="301"/>
      <c r="AA10" s="301"/>
      <c r="AB10" s="248"/>
      <c r="AC10" s="248"/>
      <c r="AD10" s="291"/>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row>
    <row r="11" spans="1:63" ht="13.5">
      <c r="A11" s="298" t="s">
        <v>228</v>
      </c>
      <c r="B11" s="128"/>
      <c r="C11" s="412"/>
      <c r="D11" s="413"/>
      <c r="E11" s="413"/>
      <c r="F11" s="413"/>
      <c r="G11" s="413"/>
      <c r="H11" s="413"/>
      <c r="I11" s="413"/>
      <c r="J11" s="414"/>
      <c r="K11" s="412"/>
      <c r="L11" s="413"/>
      <c r="M11" s="413"/>
      <c r="N11" s="413"/>
      <c r="O11" s="413"/>
      <c r="P11" s="414"/>
      <c r="Q11" s="129"/>
      <c r="R11" s="106"/>
      <c r="S11" s="281" t="s">
        <v>207</v>
      </c>
      <c r="T11" s="282"/>
      <c r="U11" s="282"/>
      <c r="V11" s="282"/>
      <c r="W11" s="282"/>
      <c r="X11" s="282"/>
      <c r="Y11" s="283"/>
      <c r="Z11" s="283"/>
      <c r="AA11" s="283"/>
      <c r="AB11" s="284"/>
      <c r="AC11" s="285"/>
      <c r="AD11" s="291"/>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row>
    <row r="12" spans="1:63" ht="13.5">
      <c r="A12" s="298" t="s">
        <v>230</v>
      </c>
      <c r="B12" s="128"/>
      <c r="C12" s="378" t="s">
        <v>279</v>
      </c>
      <c r="D12" s="379"/>
      <c r="E12" s="379"/>
      <c r="F12" s="379"/>
      <c r="G12" s="379"/>
      <c r="H12" s="379"/>
      <c r="I12" s="379"/>
      <c r="J12" s="380"/>
      <c r="K12" s="375" t="s">
        <v>280</v>
      </c>
      <c r="L12" s="376"/>
      <c r="M12" s="376"/>
      <c r="N12" s="376"/>
      <c r="O12" s="376"/>
      <c r="P12" s="377"/>
      <c r="Q12" s="129"/>
      <c r="R12" s="106"/>
      <c r="S12" s="286" t="s">
        <v>208</v>
      </c>
      <c r="T12" s="250"/>
      <c r="U12" s="250"/>
      <c r="V12" s="250"/>
      <c r="W12" s="250"/>
      <c r="X12" s="250"/>
      <c r="Y12" s="251"/>
      <c r="Z12" s="251"/>
      <c r="AA12" s="251"/>
      <c r="AB12" s="252"/>
      <c r="AC12" s="287"/>
      <c r="AD12" s="291"/>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row>
    <row r="13" spans="1:63" ht="13.5">
      <c r="A13" s="298" t="s">
        <v>231</v>
      </c>
      <c r="B13" s="128"/>
      <c r="C13" s="378"/>
      <c r="D13" s="379"/>
      <c r="E13" s="379"/>
      <c r="F13" s="379"/>
      <c r="G13" s="379"/>
      <c r="H13" s="379"/>
      <c r="I13" s="379"/>
      <c r="J13" s="380"/>
      <c r="K13" s="378"/>
      <c r="L13" s="379"/>
      <c r="M13" s="379"/>
      <c r="N13" s="379"/>
      <c r="O13" s="379"/>
      <c r="P13" s="380"/>
      <c r="Q13" s="129"/>
      <c r="R13" s="115"/>
      <c r="S13" s="286" t="s">
        <v>209</v>
      </c>
      <c r="T13" s="302"/>
      <c r="U13" s="302"/>
      <c r="V13" s="302"/>
      <c r="W13" s="302"/>
      <c r="X13" s="302"/>
      <c r="Y13" s="303"/>
      <c r="Z13" s="303"/>
      <c r="AA13" s="303"/>
      <c r="AB13" s="252"/>
      <c r="AC13" s="287"/>
      <c r="AD13" s="291"/>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row>
    <row r="14" spans="1:63" ht="13.5" customHeight="1">
      <c r="A14" s="304" t="s">
        <v>236</v>
      </c>
      <c r="B14" s="128"/>
      <c r="C14" s="386"/>
      <c r="D14" s="387"/>
      <c r="E14" s="387"/>
      <c r="F14" s="387"/>
      <c r="G14" s="387"/>
      <c r="H14" s="387"/>
      <c r="I14" s="387"/>
      <c r="J14" s="388"/>
      <c r="K14" s="386"/>
      <c r="L14" s="387"/>
      <c r="M14" s="387"/>
      <c r="N14" s="387"/>
      <c r="O14" s="387"/>
      <c r="P14" s="388"/>
      <c r="Q14" s="129"/>
      <c r="R14" s="115"/>
      <c r="S14" s="288" t="s">
        <v>210</v>
      </c>
      <c r="T14" s="302"/>
      <c r="U14" s="302"/>
      <c r="V14" s="302"/>
      <c r="W14" s="302"/>
      <c r="X14" s="302"/>
      <c r="Y14" s="303"/>
      <c r="Z14" s="303"/>
      <c r="AA14" s="303"/>
      <c r="AB14" s="302"/>
      <c r="AC14" s="305"/>
      <c r="AD14" s="291"/>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row>
    <row r="15" spans="1:63" ht="14.25" thickBot="1">
      <c r="A15" s="298" t="s">
        <v>232</v>
      </c>
      <c r="B15" s="124"/>
      <c r="C15" s="123"/>
      <c r="D15" s="123"/>
      <c r="E15" s="123"/>
      <c r="F15" s="123"/>
      <c r="G15" s="123"/>
      <c r="H15" s="123"/>
      <c r="I15" s="123"/>
      <c r="J15" s="123"/>
      <c r="K15" s="123"/>
      <c r="L15" s="123"/>
      <c r="M15" s="123"/>
      <c r="N15" s="123"/>
      <c r="O15" s="123"/>
      <c r="P15" s="123"/>
      <c r="Q15" s="129"/>
      <c r="R15" s="115"/>
      <c r="S15" s="288" t="s">
        <v>211</v>
      </c>
      <c r="T15" s="252"/>
      <c r="U15" s="252"/>
      <c r="V15" s="252"/>
      <c r="W15" s="252"/>
      <c r="X15" s="252"/>
      <c r="Y15" s="252"/>
      <c r="Z15" s="252"/>
      <c r="AA15" s="252"/>
      <c r="AB15" s="252"/>
      <c r="AC15" s="305"/>
      <c r="AD15" s="291"/>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row>
    <row r="16" spans="1:63" ht="14.25" thickBot="1">
      <c r="A16" s="298" t="s">
        <v>233</v>
      </c>
      <c r="B16" s="346"/>
      <c r="C16" s="130"/>
      <c r="D16" s="381" t="s">
        <v>237</v>
      </c>
      <c r="E16" s="415">
        <v>24</v>
      </c>
      <c r="F16" s="417" t="s">
        <v>238</v>
      </c>
      <c r="G16" s="417"/>
      <c r="H16" s="417"/>
      <c r="I16" s="418"/>
      <c r="J16" s="237" t="s">
        <v>174</v>
      </c>
      <c r="K16" s="306" t="s">
        <v>232</v>
      </c>
      <c r="L16" s="307" t="s">
        <v>173</v>
      </c>
      <c r="M16" s="264" t="s">
        <v>239</v>
      </c>
      <c r="N16" s="264" t="s">
        <v>251</v>
      </c>
      <c r="O16" s="308" t="s">
        <v>275</v>
      </c>
      <c r="P16" s="130"/>
      <c r="Q16" s="131"/>
      <c r="R16" s="118"/>
      <c r="S16" s="286" t="s">
        <v>240</v>
      </c>
      <c r="T16" s="302"/>
      <c r="U16" s="302"/>
      <c r="V16" s="302"/>
      <c r="W16" s="302"/>
      <c r="X16" s="302"/>
      <c r="Y16" s="303"/>
      <c r="Z16" s="303"/>
      <c r="AA16" s="303"/>
      <c r="AB16" s="302"/>
      <c r="AC16" s="305"/>
      <c r="AD16" s="291"/>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row>
    <row r="17" spans="1:63" ht="14.25" thickBot="1">
      <c r="A17" s="246" t="s">
        <v>234</v>
      </c>
      <c r="B17" s="106"/>
      <c r="C17" s="106"/>
      <c r="D17" s="382"/>
      <c r="E17" s="416"/>
      <c r="F17" s="419"/>
      <c r="G17" s="419"/>
      <c r="H17" s="419"/>
      <c r="I17" s="420"/>
      <c r="J17" s="126" t="s">
        <v>241</v>
      </c>
      <c r="K17" s="309">
        <v>47</v>
      </c>
      <c r="L17" s="266">
        <v>45</v>
      </c>
      <c r="M17" s="266">
        <v>14</v>
      </c>
      <c r="N17" s="266">
        <v>75</v>
      </c>
      <c r="O17" s="310"/>
      <c r="P17" s="92"/>
      <c r="Q17" s="115"/>
      <c r="R17" s="118"/>
      <c r="S17" s="289" t="s">
        <v>212</v>
      </c>
      <c r="T17" s="311"/>
      <c r="U17" s="311"/>
      <c r="V17" s="311"/>
      <c r="W17" s="311"/>
      <c r="X17" s="311"/>
      <c r="Y17" s="312"/>
      <c r="Z17" s="312"/>
      <c r="AA17" s="312"/>
      <c r="AB17" s="311"/>
      <c r="AC17" s="313"/>
      <c r="AD17" s="291"/>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row>
    <row r="18" spans="1:63" ht="13.5" customHeight="1">
      <c r="A18" s="246" t="s">
        <v>239</v>
      </c>
      <c r="B18" s="106"/>
      <c r="C18" s="106"/>
      <c r="D18" s="364" t="s">
        <v>242</v>
      </c>
      <c r="E18" s="365"/>
      <c r="F18" s="391" t="s">
        <v>272</v>
      </c>
      <c r="G18" s="392"/>
      <c r="H18" s="400" t="s">
        <v>243</v>
      </c>
      <c r="I18" s="401"/>
      <c r="J18" s="402"/>
      <c r="K18" s="389" t="s">
        <v>274</v>
      </c>
      <c r="L18" s="274" t="s">
        <v>244</v>
      </c>
      <c r="M18" s="275"/>
      <c r="N18" s="275"/>
      <c r="O18" s="276"/>
      <c r="P18" s="106"/>
      <c r="Q18" s="115"/>
      <c r="R18" s="118"/>
      <c r="S18" s="253"/>
      <c r="T18" s="314"/>
      <c r="U18" s="314"/>
      <c r="V18" s="314"/>
      <c r="W18" s="314"/>
      <c r="X18" s="314"/>
      <c r="Y18" s="315"/>
      <c r="Z18" s="315"/>
      <c r="AA18" s="315"/>
      <c r="AB18" s="314"/>
      <c r="AC18" s="314"/>
      <c r="AD18" s="291"/>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row>
    <row r="19" spans="1:63" ht="14.25" thickBot="1">
      <c r="A19" s="298" t="s">
        <v>245</v>
      </c>
      <c r="B19" s="106"/>
      <c r="C19" s="106"/>
      <c r="D19" s="359" t="s">
        <v>246</v>
      </c>
      <c r="E19" s="360"/>
      <c r="F19" s="393"/>
      <c r="G19" s="394"/>
      <c r="H19" s="403"/>
      <c r="I19" s="404"/>
      <c r="J19" s="405"/>
      <c r="K19" s="390"/>
      <c r="L19" s="277" t="s">
        <v>247</v>
      </c>
      <c r="M19" s="278"/>
      <c r="N19" s="278"/>
      <c r="O19" s="279"/>
      <c r="P19" s="106"/>
      <c r="Q19" s="115"/>
      <c r="R19" s="118"/>
      <c r="S19" s="106"/>
      <c r="T19" s="314"/>
      <c r="U19" s="314"/>
      <c r="V19" s="314"/>
      <c r="W19" s="314"/>
      <c r="X19" s="314"/>
      <c r="Y19" s="315"/>
      <c r="Z19" s="315"/>
      <c r="AA19" s="315"/>
      <c r="AB19" s="314"/>
      <c r="AC19" s="314"/>
      <c r="AD19" s="291"/>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row>
    <row r="20" spans="1:63" ht="14.25" thickBot="1">
      <c r="A20" s="298" t="s">
        <v>248</v>
      </c>
      <c r="B20" s="484" t="s">
        <v>249</v>
      </c>
      <c r="C20" s="484"/>
      <c r="D20" s="484"/>
      <c r="E20" s="484"/>
      <c r="F20" s="106"/>
      <c r="G20" s="106"/>
      <c r="H20" s="106"/>
      <c r="I20" s="106"/>
      <c r="J20" s="106"/>
      <c r="K20" s="347"/>
      <c r="L20" s="106"/>
      <c r="M20" s="106"/>
      <c r="N20" s="106"/>
      <c r="O20" s="106"/>
      <c r="P20" s="106"/>
      <c r="Q20" s="115"/>
      <c r="R20" s="118"/>
      <c r="S20" s="118"/>
      <c r="T20" s="119"/>
      <c r="U20" s="119"/>
      <c r="V20" s="119"/>
      <c r="W20" s="119"/>
      <c r="X20" s="119"/>
      <c r="Y20" s="120"/>
      <c r="Z20" s="120"/>
      <c r="AA20" s="300"/>
      <c r="AB20" s="485" t="s">
        <v>250</v>
      </c>
      <c r="AC20" s="485"/>
      <c r="AD20" s="291"/>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row>
    <row r="21" spans="1:63" ht="18.75" customHeight="1">
      <c r="A21" s="298" t="s">
        <v>251</v>
      </c>
      <c r="B21" s="372" t="s">
        <v>16</v>
      </c>
      <c r="C21" s="493" t="s">
        <v>175</v>
      </c>
      <c r="D21" s="494"/>
      <c r="E21" s="495"/>
      <c r="F21" s="493" t="s">
        <v>252</v>
      </c>
      <c r="G21" s="494"/>
      <c r="H21" s="494"/>
      <c r="I21" s="494"/>
      <c r="J21" s="495"/>
      <c r="K21" s="486" t="s">
        <v>17</v>
      </c>
      <c r="L21" s="487"/>
      <c r="M21" s="487"/>
      <c r="N21" s="487"/>
      <c r="O21" s="487"/>
      <c r="P21" s="487"/>
      <c r="Q21" s="487"/>
      <c r="R21" s="492" t="s">
        <v>295</v>
      </c>
      <c r="S21" s="406"/>
      <c r="T21" s="406"/>
      <c r="U21" s="406"/>
      <c r="V21" s="406"/>
      <c r="W21" s="406"/>
      <c r="X21" s="406"/>
      <c r="Y21" s="407"/>
      <c r="Z21" s="395" t="s">
        <v>196</v>
      </c>
      <c r="AA21" s="316" t="s">
        <v>253</v>
      </c>
      <c r="AB21" s="317" t="s">
        <v>254</v>
      </c>
      <c r="AC21" s="318" t="s">
        <v>255</v>
      </c>
      <c r="AD21" s="291"/>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row>
    <row r="22" spans="1:63" ht="18.75" customHeight="1">
      <c r="A22" s="298" t="s">
        <v>256</v>
      </c>
      <c r="B22" s="373"/>
      <c r="C22" s="496"/>
      <c r="D22" s="497"/>
      <c r="E22" s="498"/>
      <c r="F22" s="496"/>
      <c r="G22" s="497"/>
      <c r="H22" s="497"/>
      <c r="I22" s="497"/>
      <c r="J22" s="498"/>
      <c r="K22" s="488"/>
      <c r="L22" s="489"/>
      <c r="M22" s="489"/>
      <c r="N22" s="489"/>
      <c r="O22" s="489"/>
      <c r="P22" s="489"/>
      <c r="Q22" s="489"/>
      <c r="R22" s="408"/>
      <c r="S22" s="408"/>
      <c r="T22" s="408"/>
      <c r="U22" s="408"/>
      <c r="V22" s="408"/>
      <c r="W22" s="408"/>
      <c r="X22" s="408"/>
      <c r="Y22" s="409"/>
      <c r="Z22" s="396"/>
      <c r="AA22" s="319" t="s">
        <v>257</v>
      </c>
      <c r="AB22" s="247">
        <v>0</v>
      </c>
      <c r="AC22" s="320">
        <v>0.01</v>
      </c>
      <c r="AD22" s="291"/>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row>
    <row r="23" spans="1:63" ht="18.75" customHeight="1" thickBot="1">
      <c r="A23" s="298" t="s">
        <v>258</v>
      </c>
      <c r="B23" s="373"/>
      <c r="C23" s="496"/>
      <c r="D23" s="497"/>
      <c r="E23" s="498"/>
      <c r="F23" s="496"/>
      <c r="G23" s="497"/>
      <c r="H23" s="497"/>
      <c r="I23" s="497"/>
      <c r="J23" s="498"/>
      <c r="K23" s="490"/>
      <c r="L23" s="491"/>
      <c r="M23" s="491"/>
      <c r="N23" s="491"/>
      <c r="O23" s="491"/>
      <c r="P23" s="491"/>
      <c r="Q23" s="491"/>
      <c r="R23" s="410"/>
      <c r="S23" s="410"/>
      <c r="T23" s="410"/>
      <c r="U23" s="410"/>
      <c r="V23" s="410"/>
      <c r="W23" s="410"/>
      <c r="X23" s="410"/>
      <c r="Y23" s="411"/>
      <c r="Z23" s="396"/>
      <c r="AA23" s="319" t="s">
        <v>259</v>
      </c>
      <c r="AB23" s="321">
        <v>0</v>
      </c>
      <c r="AC23" s="322">
        <v>180</v>
      </c>
      <c r="AD23" s="291"/>
      <c r="AE23" s="88"/>
      <c r="AF23" s="88" t="s">
        <v>214</v>
      </c>
      <c r="AG23" s="88">
        <f>IF(AB23=0,1,AB23)</f>
        <v>1</v>
      </c>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row>
    <row r="24" spans="1:63" ht="38.25" customHeight="1" thickBot="1">
      <c r="A24" s="298" t="s">
        <v>260</v>
      </c>
      <c r="B24" s="373"/>
      <c r="C24" s="499"/>
      <c r="D24" s="500"/>
      <c r="E24" s="501"/>
      <c r="F24" s="499"/>
      <c r="G24" s="500"/>
      <c r="H24" s="500"/>
      <c r="I24" s="500"/>
      <c r="J24" s="501"/>
      <c r="K24" s="383" t="s">
        <v>296</v>
      </c>
      <c r="L24" s="384"/>
      <c r="M24" s="384"/>
      <c r="N24" s="384"/>
      <c r="O24" s="385"/>
      <c r="P24" s="383" t="s">
        <v>297</v>
      </c>
      <c r="Q24" s="384"/>
      <c r="R24" s="384" t="s">
        <v>298</v>
      </c>
      <c r="S24" s="384"/>
      <c r="T24" s="384"/>
      <c r="U24" s="384"/>
      <c r="V24" s="384"/>
      <c r="W24" s="384"/>
      <c r="X24" s="385"/>
      <c r="Y24" s="398" t="s">
        <v>200</v>
      </c>
      <c r="Z24" s="397"/>
      <c r="AA24" s="323" t="s">
        <v>261</v>
      </c>
      <c r="AB24" s="324" t="s">
        <v>236</v>
      </c>
      <c r="AC24" s="254">
        <v>27</v>
      </c>
      <c r="AD24" s="291"/>
      <c r="AE24" s="257"/>
      <c r="AF24" s="88" t="s">
        <v>215</v>
      </c>
      <c r="AG24" s="88">
        <f>IF(AC23=0,1,AC23)</f>
        <v>180</v>
      </c>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row>
    <row r="25" spans="1:46" ht="22.5" customHeight="1" thickBot="1" thickTop="1">
      <c r="A25" s="108" t="s">
        <v>256</v>
      </c>
      <c r="B25" s="374"/>
      <c r="C25" s="361" t="s">
        <v>262</v>
      </c>
      <c r="D25" s="362"/>
      <c r="E25" s="363"/>
      <c r="F25" s="261" t="str">
        <f>$K$16</f>
        <v>本人</v>
      </c>
      <c r="G25" s="141" t="str">
        <f>$L$16</f>
        <v>妻</v>
      </c>
      <c r="H25" s="136" t="str">
        <f>$M$16</f>
        <v>子</v>
      </c>
      <c r="I25" s="262" t="str">
        <f>$N$16</f>
        <v>祖父母</v>
      </c>
      <c r="J25" s="263" t="str">
        <f>$O$16</f>
        <v>-</v>
      </c>
      <c r="K25" s="133" t="str">
        <f>F25</f>
        <v>本人</v>
      </c>
      <c r="L25" s="134" t="str">
        <f>G25</f>
        <v>妻</v>
      </c>
      <c r="M25" s="135" t="s">
        <v>263</v>
      </c>
      <c r="N25" s="136" t="s">
        <v>264</v>
      </c>
      <c r="O25" s="137" t="s">
        <v>18</v>
      </c>
      <c r="P25" s="138" t="s">
        <v>25</v>
      </c>
      <c r="Q25" s="139" t="s">
        <v>265</v>
      </c>
      <c r="R25" s="140" t="s">
        <v>266</v>
      </c>
      <c r="S25" s="134" t="s">
        <v>26</v>
      </c>
      <c r="T25" s="134" t="s">
        <v>267</v>
      </c>
      <c r="U25" s="134" t="s">
        <v>268</v>
      </c>
      <c r="V25" s="141" t="s">
        <v>172</v>
      </c>
      <c r="W25" s="137" t="s">
        <v>269</v>
      </c>
      <c r="X25" s="142" t="s">
        <v>19</v>
      </c>
      <c r="Y25" s="399"/>
      <c r="Z25" s="104">
        <v>600</v>
      </c>
      <c r="AA25" s="325" t="s">
        <v>270</v>
      </c>
      <c r="AB25" s="102">
        <v>0</v>
      </c>
      <c r="AC25" s="103">
        <v>1500</v>
      </c>
      <c r="AD25" s="291"/>
      <c r="AE25" s="88"/>
      <c r="AF25" s="88"/>
      <c r="AG25" s="88"/>
      <c r="AH25" s="88"/>
      <c r="AI25" s="88"/>
      <c r="AJ25" s="88"/>
      <c r="AK25" s="88"/>
      <c r="AL25" s="88"/>
      <c r="AM25" s="88"/>
      <c r="AN25" s="88"/>
      <c r="AO25" s="88"/>
      <c r="AP25" s="88"/>
      <c r="AQ25" s="88"/>
      <c r="AR25" s="88"/>
      <c r="AS25" s="88"/>
      <c r="AT25" s="88"/>
    </row>
    <row r="26" spans="1:46" ht="19.5" customHeight="1" thickTop="1">
      <c r="A26" s="108"/>
      <c r="B26" s="151">
        <f>E16</f>
        <v>24</v>
      </c>
      <c r="C26" s="366"/>
      <c r="D26" s="367"/>
      <c r="E26" s="368"/>
      <c r="F26" s="326">
        <f>IF(K16="-","",$K$17)</f>
        <v>47</v>
      </c>
      <c r="G26" s="327">
        <f>IF(L16="-","",$L$17)</f>
        <v>45</v>
      </c>
      <c r="H26" s="327">
        <f>IF(M16="-","",$M$17)</f>
        <v>14</v>
      </c>
      <c r="I26" s="327">
        <f>IF(N16="-","",$N$17)</f>
        <v>75</v>
      </c>
      <c r="J26" s="328">
        <f>IF(O16="-","",$O$17)</f>
      </c>
      <c r="K26" s="145">
        <f>+シート２!$F$8</f>
        <v>230</v>
      </c>
      <c r="L26" s="145">
        <f>+シート２!$F$9</f>
        <v>100</v>
      </c>
      <c r="M26" s="146">
        <f>IF($F$18="いいえ",0,シート７!AF35)</f>
        <v>0</v>
      </c>
      <c r="N26" s="329">
        <f>+シート２!F10</f>
        <v>0</v>
      </c>
      <c r="O26" s="147">
        <f aca="true" t="shared" si="0" ref="O26:O44">SUM(K26:N26)</f>
        <v>330</v>
      </c>
      <c r="P26" s="326">
        <f>+シート２!$F$24</f>
        <v>250</v>
      </c>
      <c r="Q26" s="330">
        <f>+シート２!$F$30+R26</f>
        <v>0</v>
      </c>
      <c r="R26" s="331">
        <f>シート２!N25</f>
        <v>0</v>
      </c>
      <c r="S26" s="331">
        <f>IF($K$18="いいえ",シート７!X35,シート７!J9)</f>
        <v>48</v>
      </c>
      <c r="T26" s="332">
        <f>+シート２!$F$34</f>
        <v>24</v>
      </c>
      <c r="U26" s="332">
        <f>+シート２!$F$39</f>
        <v>36</v>
      </c>
      <c r="V26" s="332">
        <f>+シート２!$F$43</f>
        <v>0</v>
      </c>
      <c r="W26" s="333">
        <f>IF(AB23&lt;=12,AB25+AI26,AI26)</f>
        <v>0</v>
      </c>
      <c r="X26" s="334">
        <f>SUM(P26:W26)-R26</f>
        <v>358</v>
      </c>
      <c r="Y26" s="238">
        <f aca="true" t="shared" si="1" ref="Y26:Y50">+O26-X26</f>
        <v>-28</v>
      </c>
      <c r="Z26" s="143">
        <f aca="true" t="shared" si="2" ref="Z26:Z50">+Z25+O26-X26</f>
        <v>572</v>
      </c>
      <c r="AA26" s="348">
        <f aca="true" t="shared" si="3" ref="AA26:AA44">SUM(AB26:AC26)</f>
        <v>0</v>
      </c>
      <c r="AB26" s="349">
        <f>IF(ISERROR(シート５!H9),"0",ROUND(シート５!H9/10000,0))</f>
        <v>0</v>
      </c>
      <c r="AC26" s="350">
        <f ca="1">IF(シート６!$H$1&lt;25,ROUND(INDIRECT("シート６!H"&amp;21-(シート６!$H$1-23)*12)/10000,0),0)</f>
        <v>0</v>
      </c>
      <c r="AD26" s="291"/>
      <c r="AE26" s="258"/>
      <c r="AF26" s="88">
        <f>IF(AB26=0,0,シート５!$E$7)</f>
        <v>0</v>
      </c>
      <c r="AG26" s="88">
        <f>IF(AC26=0,0,シート６!$E$7)</f>
        <v>0</v>
      </c>
      <c r="AH26" s="259">
        <f>IF(X26=0,0,AA26)</f>
        <v>0</v>
      </c>
      <c r="AI26" s="88">
        <f aca="true" t="shared" si="4" ref="AI26:AI44">IF(ISERROR((AF26+AG26)/10000*12),"0 ",(AF26+AG26)/10000*12)</f>
        <v>0</v>
      </c>
      <c r="AJ26" s="88"/>
      <c r="AK26" s="88"/>
      <c r="AL26" s="88"/>
      <c r="AM26" s="88"/>
      <c r="AN26" s="88"/>
      <c r="AO26" s="88"/>
      <c r="AP26" s="88"/>
      <c r="AQ26" s="88"/>
      <c r="AR26" s="88"/>
      <c r="AS26" s="88"/>
      <c r="AT26" s="88"/>
    </row>
    <row r="27" spans="1:46" ht="19.5" customHeight="1">
      <c r="A27" s="108"/>
      <c r="B27" s="152">
        <f>B26+1</f>
        <v>25</v>
      </c>
      <c r="C27" s="356" t="s">
        <v>271</v>
      </c>
      <c r="D27" s="357"/>
      <c r="E27" s="358"/>
      <c r="F27" s="153">
        <f>IF(F26="","",F26+1)</f>
        <v>48</v>
      </c>
      <c r="G27" s="154">
        <f>IF(G26="","",G26+1)</f>
        <v>46</v>
      </c>
      <c r="H27" s="154">
        <f>IF(H26="","",H26+1)</f>
        <v>15</v>
      </c>
      <c r="I27" s="154">
        <f>IF(I26="","",I26+1)</f>
        <v>76</v>
      </c>
      <c r="J27" s="155">
        <f>IF(J26="","",J26+1)</f>
      </c>
      <c r="K27" s="94">
        <v>230</v>
      </c>
      <c r="L27" s="95">
        <f>L26</f>
        <v>100</v>
      </c>
      <c r="M27" s="146">
        <f>IF($F$18="いいえ",0,シート７!AF36)</f>
        <v>0</v>
      </c>
      <c r="N27" s="94"/>
      <c r="O27" s="148">
        <f t="shared" si="0"/>
        <v>330</v>
      </c>
      <c r="P27" s="98">
        <f>P26</f>
        <v>250</v>
      </c>
      <c r="Q27" s="335">
        <f>+シート２!$F$30+R27</f>
        <v>0</v>
      </c>
      <c r="R27" s="336">
        <f>シート２!N26</f>
        <v>0</v>
      </c>
      <c r="S27" s="336">
        <f>IF($K$18="いいえ",シート７!X36,シート７!J10)</f>
        <v>52</v>
      </c>
      <c r="T27" s="100">
        <f>T26</f>
        <v>24</v>
      </c>
      <c r="U27" s="100">
        <f>U26</f>
        <v>36</v>
      </c>
      <c r="V27" s="100"/>
      <c r="W27" s="333">
        <f>IF(AI27=0,AH26,AI27)</f>
        <v>0</v>
      </c>
      <c r="X27" s="334">
        <f aca="true" t="shared" si="5" ref="X27:X50">SUM(P27:W27)-R27</f>
        <v>362</v>
      </c>
      <c r="Y27" s="238">
        <f t="shared" si="1"/>
        <v>-32</v>
      </c>
      <c r="Z27" s="143">
        <f t="shared" si="2"/>
        <v>540</v>
      </c>
      <c r="AA27" s="348">
        <f t="shared" si="3"/>
        <v>0</v>
      </c>
      <c r="AB27" s="349">
        <f>IF(ISERROR(シート５!H21),"0",ROUND(シート５!H21/10000,0))</f>
        <v>0</v>
      </c>
      <c r="AC27" s="351">
        <f ca="1">IF(シート６!$H$1&lt;26,ROUND(INDIRECT("シート６!H"&amp;33-(シート６!$H$1-23)*12)/10000,0),0)</f>
        <v>0</v>
      </c>
      <c r="AD27" s="291"/>
      <c r="AE27" s="258"/>
      <c r="AF27" s="88">
        <f>IF(AB27=0,0,シート５!$E$7)</f>
        <v>0</v>
      </c>
      <c r="AG27" s="88">
        <f>IF(AC27=0,0,シート６!$E$7)</f>
        <v>0</v>
      </c>
      <c r="AH27" s="259">
        <f aca="true" t="shared" si="6" ref="AH27:AH50">IF(X27=0,0,AA27)</f>
        <v>0</v>
      </c>
      <c r="AI27" s="88">
        <f t="shared" si="4"/>
        <v>0</v>
      </c>
      <c r="AJ27" s="88"/>
      <c r="AK27" s="88"/>
      <c r="AL27" s="88"/>
      <c r="AM27" s="88"/>
      <c r="AN27" s="88"/>
      <c r="AO27" s="88"/>
      <c r="AP27" s="88"/>
      <c r="AQ27" s="88"/>
      <c r="AR27" s="88"/>
      <c r="AS27" s="88"/>
      <c r="AT27" s="88"/>
    </row>
    <row r="28" spans="1:46" ht="19.5" customHeight="1">
      <c r="A28" s="108"/>
      <c r="B28" s="152">
        <f aca="true" t="shared" si="7" ref="B28:B50">B27+1</f>
        <v>26</v>
      </c>
      <c r="C28" s="356" t="s">
        <v>282</v>
      </c>
      <c r="D28" s="357"/>
      <c r="E28" s="358"/>
      <c r="F28" s="153">
        <f aca="true" t="shared" si="8" ref="F28:F50">IF(F27="","",F27+1)</f>
        <v>49</v>
      </c>
      <c r="G28" s="154">
        <f aca="true" t="shared" si="9" ref="G28:G50">IF(G27="","",G27+1)</f>
        <v>47</v>
      </c>
      <c r="H28" s="154">
        <f aca="true" t="shared" si="10" ref="H28:H50">IF(H27="","",H27+1)</f>
        <v>16</v>
      </c>
      <c r="I28" s="154">
        <f aca="true" t="shared" si="11" ref="I28:I50">IF(I27="","",I27+1)</f>
        <v>77</v>
      </c>
      <c r="J28" s="155">
        <f aca="true" t="shared" si="12" ref="J28:J50">IF(J27="","",J27+1)</f>
      </c>
      <c r="K28" s="94">
        <v>300</v>
      </c>
      <c r="L28" s="337">
        <f>L27</f>
        <v>100</v>
      </c>
      <c r="M28" s="146">
        <f>IF($F$18="いいえ",0,シート７!AF37)</f>
        <v>0</v>
      </c>
      <c r="N28" s="94"/>
      <c r="O28" s="148">
        <f t="shared" si="0"/>
        <v>400</v>
      </c>
      <c r="P28" s="98">
        <f>P27</f>
        <v>250</v>
      </c>
      <c r="Q28" s="335">
        <f>+シート２!$F$30+R28</f>
        <v>0</v>
      </c>
      <c r="R28" s="336">
        <f>シート２!N27</f>
        <v>0</v>
      </c>
      <c r="S28" s="336">
        <f>IF($K$18="いいえ",シート７!X37,シート７!J11)</f>
        <v>52</v>
      </c>
      <c r="T28" s="100">
        <f>T27</f>
        <v>24</v>
      </c>
      <c r="U28" s="100">
        <f>U27</f>
        <v>36</v>
      </c>
      <c r="V28" s="100"/>
      <c r="W28" s="333">
        <f aca="true" t="shared" si="13" ref="W28:W50">IF(AI28=0,AH27,AI28)</f>
        <v>0</v>
      </c>
      <c r="X28" s="334">
        <f t="shared" si="5"/>
        <v>362</v>
      </c>
      <c r="Y28" s="238">
        <f t="shared" si="1"/>
        <v>38</v>
      </c>
      <c r="Z28" s="143">
        <f t="shared" si="2"/>
        <v>578</v>
      </c>
      <c r="AA28" s="348">
        <f t="shared" si="3"/>
        <v>0</v>
      </c>
      <c r="AB28" s="349">
        <f>IF(ISERROR(シート５!H33),"0",ROUND(シート５!H33/10000,0))</f>
        <v>0</v>
      </c>
      <c r="AC28" s="352">
        <f ca="1">IF(シート６!$H$1&lt;27,ROUND(INDIRECT("シート６!H"&amp;45-(シート６!$H$1-23)*12)/10000,0),0)</f>
        <v>0</v>
      </c>
      <c r="AD28" s="291"/>
      <c r="AE28" s="258"/>
      <c r="AF28" s="88">
        <f>IF(AB28=0,0,シート５!$E$7)</f>
        <v>0</v>
      </c>
      <c r="AG28" s="88">
        <f>IF(AC28=0,0,シート６!$E$7)</f>
        <v>0</v>
      </c>
      <c r="AH28" s="259">
        <f t="shared" si="6"/>
        <v>0</v>
      </c>
      <c r="AI28" s="88">
        <f t="shared" si="4"/>
        <v>0</v>
      </c>
      <c r="AJ28" s="88"/>
      <c r="AK28" s="88"/>
      <c r="AL28" s="88"/>
      <c r="AM28" s="88"/>
      <c r="AN28" s="88"/>
      <c r="AO28" s="88"/>
      <c r="AP28" s="88"/>
      <c r="AQ28" s="88"/>
      <c r="AR28" s="88"/>
      <c r="AS28" s="88"/>
      <c r="AT28" s="88"/>
    </row>
    <row r="29" spans="1:46" ht="19.5" customHeight="1">
      <c r="A29" s="108"/>
      <c r="B29" s="152">
        <f t="shared" si="7"/>
        <v>27</v>
      </c>
      <c r="C29" s="356" t="s">
        <v>285</v>
      </c>
      <c r="D29" s="357"/>
      <c r="E29" s="358"/>
      <c r="F29" s="153">
        <f t="shared" si="8"/>
        <v>50</v>
      </c>
      <c r="G29" s="154">
        <f t="shared" si="9"/>
        <v>48</v>
      </c>
      <c r="H29" s="154">
        <f t="shared" si="10"/>
        <v>17</v>
      </c>
      <c r="I29" s="154">
        <f t="shared" si="11"/>
        <v>78</v>
      </c>
      <c r="J29" s="155">
        <f t="shared" si="12"/>
      </c>
      <c r="K29" s="94">
        <f aca="true" t="shared" si="14" ref="K29:K38">K28</f>
        <v>300</v>
      </c>
      <c r="L29" s="95">
        <f aca="true" t="shared" si="15" ref="L29:L37">L28</f>
        <v>100</v>
      </c>
      <c r="M29" s="146">
        <f>IF($F$18="いいえ",0,シート７!AF38)</f>
        <v>0</v>
      </c>
      <c r="N29" s="94">
        <v>1800</v>
      </c>
      <c r="O29" s="148">
        <f t="shared" si="0"/>
        <v>2200</v>
      </c>
      <c r="P29" s="98">
        <f>P28</f>
        <v>250</v>
      </c>
      <c r="Q29" s="335">
        <f>+シート２!$F$30+R29</f>
        <v>0</v>
      </c>
      <c r="R29" s="336">
        <f>シート２!N28</f>
        <v>0</v>
      </c>
      <c r="S29" s="336">
        <f>IF($K$18="いいえ",シート７!X38,シート７!J12)</f>
        <v>52</v>
      </c>
      <c r="T29" s="100">
        <f>T28</f>
        <v>24</v>
      </c>
      <c r="U29" s="100">
        <f aca="true" t="shared" si="16" ref="U29:U50">U28</f>
        <v>36</v>
      </c>
      <c r="V29" s="100">
        <v>1800</v>
      </c>
      <c r="W29" s="333">
        <f t="shared" si="13"/>
        <v>107.72901261328849</v>
      </c>
      <c r="X29" s="334">
        <f t="shared" si="5"/>
        <v>2269.7290126132884</v>
      </c>
      <c r="Y29" s="238">
        <f t="shared" si="1"/>
        <v>-69.72901261328843</v>
      </c>
      <c r="Z29" s="143">
        <f t="shared" si="2"/>
        <v>508.27098738671157</v>
      </c>
      <c r="AA29" s="348">
        <f t="shared" si="3"/>
        <v>1407</v>
      </c>
      <c r="AB29" s="349">
        <f>IF(ISERROR(シート５!H45),"0",ROUND(シート５!H45/10000,0))</f>
        <v>0</v>
      </c>
      <c r="AC29" s="352">
        <f ca="1">IF(シート６!$H$1&lt;28,ROUND(INDIRECT("シート６!H"&amp;57-(シート６!$H$1-23)*12)/10000,0),0)</f>
        <v>1407</v>
      </c>
      <c r="AD29" s="291"/>
      <c r="AE29" s="258"/>
      <c r="AF29" s="88">
        <f>IF(AB29=0,0,シート５!$E$7)</f>
        <v>0</v>
      </c>
      <c r="AG29" s="88">
        <f>IF(AC29=0,0,シート６!$E$7)</f>
        <v>89774.1771777404</v>
      </c>
      <c r="AH29" s="259">
        <f t="shared" si="6"/>
        <v>1407</v>
      </c>
      <c r="AI29" s="88">
        <f t="shared" si="4"/>
        <v>107.72901261328849</v>
      </c>
      <c r="AJ29" s="88"/>
      <c r="AK29" s="88"/>
      <c r="AL29" s="88"/>
      <c r="AM29" s="88"/>
      <c r="AN29" s="88"/>
      <c r="AO29" s="88"/>
      <c r="AP29" s="88"/>
      <c r="AQ29" s="88"/>
      <c r="AR29" s="88"/>
      <c r="AS29" s="88"/>
      <c r="AT29" s="88"/>
    </row>
    <row r="30" spans="1:46" ht="19.5" customHeight="1">
      <c r="A30" s="108"/>
      <c r="B30" s="152">
        <f t="shared" si="7"/>
        <v>28</v>
      </c>
      <c r="C30" s="356" t="s">
        <v>281</v>
      </c>
      <c r="D30" s="357"/>
      <c r="E30" s="358"/>
      <c r="F30" s="153">
        <f t="shared" si="8"/>
        <v>51</v>
      </c>
      <c r="G30" s="154">
        <f t="shared" si="9"/>
        <v>49</v>
      </c>
      <c r="H30" s="154">
        <f t="shared" si="10"/>
        <v>18</v>
      </c>
      <c r="I30" s="154">
        <f t="shared" si="11"/>
        <v>79</v>
      </c>
      <c r="J30" s="155">
        <f t="shared" si="12"/>
      </c>
      <c r="K30" s="94">
        <f t="shared" si="14"/>
        <v>300</v>
      </c>
      <c r="L30" s="95">
        <v>200</v>
      </c>
      <c r="M30" s="146">
        <f>IF($F$18="いいえ",0,シート７!AF39)</f>
        <v>0</v>
      </c>
      <c r="N30" s="94"/>
      <c r="O30" s="148">
        <f t="shared" si="0"/>
        <v>500</v>
      </c>
      <c r="P30" s="98">
        <f>P29</f>
        <v>250</v>
      </c>
      <c r="Q30" s="335">
        <f>+シート２!$F$30+R30</f>
        <v>3.92</v>
      </c>
      <c r="R30" s="336">
        <f>シート２!N29</f>
        <v>3.92</v>
      </c>
      <c r="S30" s="336">
        <f>IF($K$18="いいえ",シート７!X39,シート７!J13)</f>
        <v>82</v>
      </c>
      <c r="T30" s="100">
        <f aca="true" t="shared" si="17" ref="T30:T50">T29</f>
        <v>24</v>
      </c>
      <c r="U30" s="100">
        <f t="shared" si="16"/>
        <v>36</v>
      </c>
      <c r="V30" s="100">
        <v>120</v>
      </c>
      <c r="W30" s="333">
        <f t="shared" si="13"/>
        <v>107.72901261328849</v>
      </c>
      <c r="X30" s="334">
        <f t="shared" si="5"/>
        <v>623.6490126132884</v>
      </c>
      <c r="Y30" s="238">
        <f t="shared" si="1"/>
        <v>-123.64901261328839</v>
      </c>
      <c r="Z30" s="143">
        <f t="shared" si="2"/>
        <v>384.6219747734232</v>
      </c>
      <c r="AA30" s="348">
        <f t="shared" si="3"/>
        <v>1313</v>
      </c>
      <c r="AB30" s="349">
        <f>IF(ISERROR(シート５!H57),"0",ROUND(シート５!H57/10000,0))</f>
        <v>0</v>
      </c>
      <c r="AC30" s="352">
        <f ca="1">IF(シート６!$H$1&lt;29,ROUND(INDIRECT("シート６!H"&amp;69-(シート６!$H$1-23)*12)/10000,0),0)</f>
        <v>1313</v>
      </c>
      <c r="AD30" s="291"/>
      <c r="AE30" s="258"/>
      <c r="AF30" s="88">
        <f>IF(AB30=0,0,シート５!$E$7)</f>
        <v>0</v>
      </c>
      <c r="AG30" s="88">
        <f>IF(AC30=0,0,シート６!$E$7)</f>
        <v>89774.1771777404</v>
      </c>
      <c r="AH30" s="259">
        <f t="shared" si="6"/>
        <v>1313</v>
      </c>
      <c r="AI30" s="88">
        <f t="shared" si="4"/>
        <v>107.72901261328849</v>
      </c>
      <c r="AJ30" s="88"/>
      <c r="AK30" s="88"/>
      <c r="AL30" s="88"/>
      <c r="AM30" s="88"/>
      <c r="AN30" s="88"/>
      <c r="AO30" s="88"/>
      <c r="AP30" s="88"/>
      <c r="AQ30" s="88"/>
      <c r="AR30" s="88"/>
      <c r="AS30" s="88"/>
      <c r="AT30" s="88"/>
    </row>
    <row r="31" spans="1:46" ht="19.5" customHeight="1">
      <c r="A31" s="108"/>
      <c r="B31" s="152">
        <f t="shared" si="7"/>
        <v>29</v>
      </c>
      <c r="C31" s="356"/>
      <c r="D31" s="357"/>
      <c r="E31" s="358"/>
      <c r="F31" s="153">
        <f t="shared" si="8"/>
        <v>52</v>
      </c>
      <c r="G31" s="154">
        <f t="shared" si="9"/>
        <v>50</v>
      </c>
      <c r="H31" s="154">
        <f t="shared" si="10"/>
        <v>19</v>
      </c>
      <c r="I31" s="154">
        <f t="shared" si="11"/>
        <v>80</v>
      </c>
      <c r="J31" s="155">
        <f t="shared" si="12"/>
      </c>
      <c r="K31" s="94">
        <f t="shared" si="14"/>
        <v>300</v>
      </c>
      <c r="L31" s="95">
        <f t="shared" si="15"/>
        <v>200</v>
      </c>
      <c r="M31" s="146">
        <f>IF($F$18="いいえ",0,シート７!AF40)</f>
        <v>0</v>
      </c>
      <c r="N31" s="94"/>
      <c r="O31" s="148">
        <f t="shared" si="0"/>
        <v>500</v>
      </c>
      <c r="P31" s="98">
        <f>P30</f>
        <v>250</v>
      </c>
      <c r="Q31" s="335">
        <f>+シート２!$F$30+R31</f>
        <v>3.92</v>
      </c>
      <c r="R31" s="336">
        <f>シート２!N30</f>
        <v>3.92</v>
      </c>
      <c r="S31" s="336">
        <f>IF($K$18="いいえ",シート７!X40,シート７!J14)</f>
        <v>54</v>
      </c>
      <c r="T31" s="100">
        <f t="shared" si="17"/>
        <v>24</v>
      </c>
      <c r="U31" s="100">
        <f t="shared" si="16"/>
        <v>36</v>
      </c>
      <c r="V31" s="100">
        <v>120</v>
      </c>
      <c r="W31" s="333">
        <f t="shared" si="13"/>
        <v>107.72901261328849</v>
      </c>
      <c r="X31" s="334">
        <f t="shared" si="5"/>
        <v>595.6490126132885</v>
      </c>
      <c r="Y31" s="238">
        <f t="shared" si="1"/>
        <v>-95.6490126132885</v>
      </c>
      <c r="Z31" s="143">
        <f t="shared" si="2"/>
        <v>288.97296216013467</v>
      </c>
      <c r="AA31" s="348">
        <f t="shared" si="3"/>
        <v>1218</v>
      </c>
      <c r="AB31" s="349">
        <f>IF(ISERROR(シート５!H69),"0",ROUND(シート５!H69/10000,0))</f>
        <v>0</v>
      </c>
      <c r="AC31" s="352">
        <f ca="1">IF(シート６!$H$1&lt;30,ROUND(INDIRECT("シート６!H"&amp;81-(シート６!$H$1-23)*12)/10000,0),0)</f>
        <v>1218</v>
      </c>
      <c r="AD31" s="291"/>
      <c r="AE31" s="258"/>
      <c r="AF31" s="88">
        <f>IF(AB31=0,0,シート５!$E$7)</f>
        <v>0</v>
      </c>
      <c r="AG31" s="88">
        <f>IF(AC31=0,0,シート６!$E$7)</f>
        <v>89774.1771777404</v>
      </c>
      <c r="AH31" s="259">
        <f t="shared" si="6"/>
        <v>1218</v>
      </c>
      <c r="AI31" s="88">
        <f t="shared" si="4"/>
        <v>107.72901261328849</v>
      </c>
      <c r="AJ31" s="88"/>
      <c r="AK31" s="88"/>
      <c r="AL31" s="88"/>
      <c r="AM31" s="88"/>
      <c r="AN31" s="88"/>
      <c r="AO31" s="88"/>
      <c r="AP31" s="88"/>
      <c r="AQ31" s="88"/>
      <c r="AR31" s="88"/>
      <c r="AS31" s="88"/>
      <c r="AT31" s="88"/>
    </row>
    <row r="32" spans="1:46" ht="19.5" customHeight="1">
      <c r="A32" s="108"/>
      <c r="B32" s="152">
        <f t="shared" si="7"/>
        <v>30</v>
      </c>
      <c r="C32" s="356"/>
      <c r="D32" s="357"/>
      <c r="E32" s="358"/>
      <c r="F32" s="153">
        <f t="shared" si="8"/>
        <v>53</v>
      </c>
      <c r="G32" s="154">
        <f t="shared" si="9"/>
        <v>51</v>
      </c>
      <c r="H32" s="154">
        <f t="shared" si="10"/>
        <v>20</v>
      </c>
      <c r="I32" s="154">
        <f t="shared" si="11"/>
        <v>81</v>
      </c>
      <c r="J32" s="155">
        <f>IF(J31="","",J31+1)</f>
      </c>
      <c r="K32" s="338">
        <f t="shared" si="14"/>
        <v>300</v>
      </c>
      <c r="L32" s="95">
        <f t="shared" si="15"/>
        <v>200</v>
      </c>
      <c r="M32" s="146">
        <f>IF($F$18="いいえ",0,シート７!AF41)</f>
        <v>0</v>
      </c>
      <c r="N32" s="94"/>
      <c r="O32" s="148">
        <f t="shared" si="0"/>
        <v>500</v>
      </c>
      <c r="P32" s="98">
        <f aca="true" t="shared" si="18" ref="P32:P41">P31</f>
        <v>250</v>
      </c>
      <c r="Q32" s="335">
        <f>+シート２!$F$30+R32</f>
        <v>3.92</v>
      </c>
      <c r="R32" s="336">
        <f>シート２!N31</f>
        <v>3.92</v>
      </c>
      <c r="S32" s="336">
        <f>IF($K$18="いいえ",シート７!X41,シート７!J15)</f>
        <v>54</v>
      </c>
      <c r="T32" s="100">
        <f t="shared" si="17"/>
        <v>24</v>
      </c>
      <c r="U32" s="100">
        <f t="shared" si="16"/>
        <v>36</v>
      </c>
      <c r="V32" s="100">
        <v>120</v>
      </c>
      <c r="W32" s="333">
        <f t="shared" si="13"/>
        <v>107.72901261328849</v>
      </c>
      <c r="X32" s="334">
        <f t="shared" si="5"/>
        <v>595.6490126132885</v>
      </c>
      <c r="Y32" s="238">
        <f t="shared" si="1"/>
        <v>-95.6490126132885</v>
      </c>
      <c r="Z32" s="143">
        <f t="shared" si="2"/>
        <v>193.32394954684617</v>
      </c>
      <c r="AA32" s="348">
        <f t="shared" si="3"/>
        <v>1122</v>
      </c>
      <c r="AB32" s="349">
        <f>IF(ISERROR(シート５!H81),"0",ROUND(シート５!H81/10000,0))</f>
        <v>0</v>
      </c>
      <c r="AC32" s="352">
        <f ca="1">IF(シート６!$H$1&lt;31,ROUND(INDIRECT("シート６!H"&amp;93-(シート６!$H$1-23)*12)/10000,0),0)</f>
        <v>1122</v>
      </c>
      <c r="AD32" s="291"/>
      <c r="AE32" s="258"/>
      <c r="AF32" s="88">
        <f>IF(AB32=0,0,シート５!$E$7)</f>
        <v>0</v>
      </c>
      <c r="AG32" s="88">
        <f>IF(AC32=0,0,シート６!$E$7)</f>
        <v>89774.1771777404</v>
      </c>
      <c r="AH32" s="259">
        <f t="shared" si="6"/>
        <v>1122</v>
      </c>
      <c r="AI32" s="88">
        <f t="shared" si="4"/>
        <v>107.72901261328849</v>
      </c>
      <c r="AJ32" s="88"/>
      <c r="AK32" s="88"/>
      <c r="AL32" s="88"/>
      <c r="AM32" s="88"/>
      <c r="AN32" s="88"/>
      <c r="AO32" s="88"/>
      <c r="AP32" s="88"/>
      <c r="AQ32" s="88"/>
      <c r="AR32" s="88"/>
      <c r="AS32" s="88"/>
      <c r="AT32" s="88"/>
    </row>
    <row r="33" spans="1:46" ht="19.5" customHeight="1">
      <c r="A33" s="108"/>
      <c r="B33" s="152">
        <f t="shared" si="7"/>
        <v>31</v>
      </c>
      <c r="C33" s="356"/>
      <c r="D33" s="357"/>
      <c r="E33" s="358"/>
      <c r="F33" s="153">
        <f t="shared" si="8"/>
        <v>54</v>
      </c>
      <c r="G33" s="154">
        <f t="shared" si="9"/>
        <v>52</v>
      </c>
      <c r="H33" s="154">
        <f t="shared" si="10"/>
        <v>21</v>
      </c>
      <c r="I33" s="154">
        <f t="shared" si="11"/>
        <v>82</v>
      </c>
      <c r="J33" s="155">
        <f t="shared" si="12"/>
      </c>
      <c r="K33" s="94">
        <f>K32</f>
        <v>300</v>
      </c>
      <c r="L33" s="95">
        <f t="shared" si="15"/>
        <v>200</v>
      </c>
      <c r="M33" s="146">
        <f>IF($F$18="いいえ",0,シート７!AF42)</f>
        <v>0</v>
      </c>
      <c r="N33" s="94"/>
      <c r="O33" s="148">
        <f t="shared" si="0"/>
        <v>500</v>
      </c>
      <c r="P33" s="98">
        <f t="shared" si="18"/>
        <v>250</v>
      </c>
      <c r="Q33" s="335">
        <f>+シート２!$F$30+R33</f>
        <v>7.595</v>
      </c>
      <c r="R33" s="336">
        <f>シート２!N32</f>
        <v>7.595</v>
      </c>
      <c r="S33" s="336">
        <f>IF($K$18="いいえ",シート７!X42,シート７!J16)</f>
        <v>54</v>
      </c>
      <c r="T33" s="100">
        <f>T32</f>
        <v>24</v>
      </c>
      <c r="U33" s="100">
        <f t="shared" si="16"/>
        <v>36</v>
      </c>
      <c r="V33" s="100">
        <v>120</v>
      </c>
      <c r="W33" s="333">
        <f t="shared" si="13"/>
        <v>107.72901261328849</v>
      </c>
      <c r="X33" s="334">
        <f t="shared" si="5"/>
        <v>599.3240126132885</v>
      </c>
      <c r="Y33" s="238">
        <f t="shared" si="1"/>
        <v>-99.32401261328846</v>
      </c>
      <c r="Z33" s="143">
        <f t="shared" si="2"/>
        <v>93.9999369335577</v>
      </c>
      <c r="AA33" s="348">
        <f t="shared" si="3"/>
        <v>1025</v>
      </c>
      <c r="AB33" s="349">
        <f>IF(ISERROR(シート５!H93),"0",ROUND(シート５!H93/10000,0))</f>
        <v>0</v>
      </c>
      <c r="AC33" s="352">
        <f ca="1">IF(シート６!$H$1&lt;32,ROUND(INDIRECT("シート６!H"&amp;105-(シート６!$H$1-23)*12)/10000,0),0)</f>
        <v>1025</v>
      </c>
      <c r="AD33" s="291"/>
      <c r="AE33" s="258"/>
      <c r="AF33" s="88">
        <f>IF(AB33=0,0,シート５!$E$7)</f>
        <v>0</v>
      </c>
      <c r="AG33" s="88">
        <f>IF(AC33=0,0,シート６!$E$7)</f>
        <v>89774.1771777404</v>
      </c>
      <c r="AH33" s="259">
        <f t="shared" si="6"/>
        <v>1025</v>
      </c>
      <c r="AI33" s="88">
        <f t="shared" si="4"/>
        <v>107.72901261328849</v>
      </c>
      <c r="AJ33" s="88"/>
      <c r="AK33" s="88"/>
      <c r="AL33" s="88"/>
      <c r="AM33" s="88"/>
      <c r="AN33" s="88"/>
      <c r="AO33" s="88"/>
      <c r="AP33" s="88"/>
      <c r="AQ33" s="88"/>
      <c r="AR33" s="88"/>
      <c r="AS33" s="88"/>
      <c r="AT33" s="88"/>
    </row>
    <row r="34" spans="1:46" ht="19.5" customHeight="1">
      <c r="A34" s="108"/>
      <c r="B34" s="152">
        <f t="shared" si="7"/>
        <v>32</v>
      </c>
      <c r="C34" s="356" t="s">
        <v>283</v>
      </c>
      <c r="D34" s="357"/>
      <c r="E34" s="358"/>
      <c r="F34" s="153">
        <f t="shared" si="8"/>
        <v>55</v>
      </c>
      <c r="G34" s="154">
        <f t="shared" si="9"/>
        <v>53</v>
      </c>
      <c r="H34" s="154">
        <f t="shared" si="10"/>
        <v>22</v>
      </c>
      <c r="I34" s="154">
        <f t="shared" si="11"/>
        <v>83</v>
      </c>
      <c r="J34" s="155">
        <f t="shared" si="12"/>
      </c>
      <c r="K34" s="94">
        <f>K33</f>
        <v>300</v>
      </c>
      <c r="L34" s="95">
        <f t="shared" si="15"/>
        <v>200</v>
      </c>
      <c r="M34" s="146">
        <f>IF($F$18="いいえ",0,シート７!AF43)</f>
        <v>0</v>
      </c>
      <c r="N34" s="94"/>
      <c r="O34" s="148">
        <f t="shared" si="0"/>
        <v>500</v>
      </c>
      <c r="P34" s="98">
        <f t="shared" si="18"/>
        <v>250</v>
      </c>
      <c r="Q34" s="335">
        <f>+シート２!$F$30+R34</f>
        <v>10.126666666666667</v>
      </c>
      <c r="R34" s="336">
        <f>シート２!N33</f>
        <v>10.126666666666667</v>
      </c>
      <c r="S34" s="336">
        <f>IF($K$18="いいえ",シート７!X43,シート７!J17)</f>
        <v>0</v>
      </c>
      <c r="T34" s="100">
        <f t="shared" si="17"/>
        <v>24</v>
      </c>
      <c r="U34" s="100">
        <f t="shared" si="16"/>
        <v>36</v>
      </c>
      <c r="V34" s="100"/>
      <c r="W34" s="333">
        <f t="shared" si="13"/>
        <v>107.72901261328849</v>
      </c>
      <c r="X34" s="334">
        <f t="shared" si="5"/>
        <v>427.85567927995515</v>
      </c>
      <c r="Y34" s="238">
        <f t="shared" si="1"/>
        <v>72.14432072004485</v>
      </c>
      <c r="Z34" s="143">
        <f t="shared" si="2"/>
        <v>166.14425765360255</v>
      </c>
      <c r="AA34" s="348">
        <f t="shared" si="3"/>
        <v>927</v>
      </c>
      <c r="AB34" s="349">
        <f>IF(ISERROR(シート５!H105),"0",ROUND(シート５!H105/10000,0))</f>
        <v>0</v>
      </c>
      <c r="AC34" s="352">
        <f ca="1">IF(シート６!$H$1&lt;33,ROUND(INDIRECT("シート６!H"&amp;117-(シート６!$H$1-23)*12)/10000,0),0)</f>
        <v>927</v>
      </c>
      <c r="AD34" s="291"/>
      <c r="AE34" s="258"/>
      <c r="AF34" s="88">
        <f>IF(AB34=0,0,シート５!$E$7)</f>
        <v>0</v>
      </c>
      <c r="AG34" s="88">
        <f>IF(AC34=0,0,シート６!$E$7)</f>
        <v>89774.1771777404</v>
      </c>
      <c r="AH34" s="259">
        <f t="shared" si="6"/>
        <v>927</v>
      </c>
      <c r="AI34" s="88">
        <f t="shared" si="4"/>
        <v>107.72901261328849</v>
      </c>
      <c r="AJ34" s="88"/>
      <c r="AK34" s="88"/>
      <c r="AL34" s="88"/>
      <c r="AM34" s="88"/>
      <c r="AN34" s="88"/>
      <c r="AO34" s="88"/>
      <c r="AP34" s="88"/>
      <c r="AQ34" s="88"/>
      <c r="AR34" s="88"/>
      <c r="AS34" s="88"/>
      <c r="AT34" s="88"/>
    </row>
    <row r="35" spans="1:46" ht="19.5" customHeight="1">
      <c r="A35" s="108"/>
      <c r="B35" s="152">
        <f t="shared" si="7"/>
        <v>33</v>
      </c>
      <c r="C35" s="356"/>
      <c r="D35" s="357"/>
      <c r="E35" s="358"/>
      <c r="F35" s="153">
        <f t="shared" si="8"/>
        <v>56</v>
      </c>
      <c r="G35" s="154">
        <f t="shared" si="9"/>
        <v>54</v>
      </c>
      <c r="H35" s="154">
        <f t="shared" si="10"/>
        <v>23</v>
      </c>
      <c r="I35" s="154">
        <f t="shared" si="11"/>
        <v>84</v>
      </c>
      <c r="J35" s="155">
        <f t="shared" si="12"/>
      </c>
      <c r="K35" s="94">
        <f t="shared" si="14"/>
        <v>300</v>
      </c>
      <c r="L35" s="95">
        <f t="shared" si="15"/>
        <v>200</v>
      </c>
      <c r="M35" s="146">
        <f>IF($F$18="いいえ",0,シート７!AF44)</f>
        <v>0</v>
      </c>
      <c r="N35" s="94"/>
      <c r="O35" s="148">
        <f t="shared" si="0"/>
        <v>500</v>
      </c>
      <c r="P35" s="98">
        <f>P34</f>
        <v>250</v>
      </c>
      <c r="Q35" s="335">
        <f>+シート２!$F$30+R35</f>
        <v>10.126666666666667</v>
      </c>
      <c r="R35" s="336">
        <f>シート２!N34</f>
        <v>10.126666666666667</v>
      </c>
      <c r="S35" s="336">
        <f>IF($K$18="いいえ",シート７!X44,シート７!J18)</f>
        <v>0</v>
      </c>
      <c r="T35" s="100">
        <f t="shared" si="17"/>
        <v>24</v>
      </c>
      <c r="U35" s="100">
        <f t="shared" si="16"/>
        <v>36</v>
      </c>
      <c r="V35" s="100"/>
      <c r="W35" s="333">
        <f t="shared" si="13"/>
        <v>107.72901261328849</v>
      </c>
      <c r="X35" s="334">
        <f t="shared" si="5"/>
        <v>427.85567927995515</v>
      </c>
      <c r="Y35" s="238">
        <f t="shared" si="1"/>
        <v>72.14432072004485</v>
      </c>
      <c r="Z35" s="143">
        <f t="shared" si="2"/>
        <v>238.28857837364745</v>
      </c>
      <c r="AA35" s="348">
        <f t="shared" si="3"/>
        <v>828</v>
      </c>
      <c r="AB35" s="349">
        <f>IF(ISERROR(シート５!H117),"0",ROUND(シート５!H117/10000,0))</f>
        <v>0</v>
      </c>
      <c r="AC35" s="352">
        <f ca="1">IF(シート６!$H$1&lt;34,ROUND(INDIRECT("シート６!H"&amp;129-(シート６!$H$1-23)*12)/10000,0),0)</f>
        <v>828</v>
      </c>
      <c r="AD35" s="291"/>
      <c r="AE35" s="258"/>
      <c r="AF35" s="88">
        <f>IF(AB35=0,0,シート５!$E$7)</f>
        <v>0</v>
      </c>
      <c r="AG35" s="88">
        <f>IF(AC35=0,0,シート６!$E$7)</f>
        <v>89774.1771777404</v>
      </c>
      <c r="AH35" s="259">
        <f t="shared" si="6"/>
        <v>828</v>
      </c>
      <c r="AI35" s="88">
        <f t="shared" si="4"/>
        <v>107.72901261328849</v>
      </c>
      <c r="AJ35" s="88"/>
      <c r="AK35" s="88"/>
      <c r="AL35" s="88"/>
      <c r="AM35" s="88"/>
      <c r="AN35" s="88"/>
      <c r="AO35" s="88"/>
      <c r="AP35" s="88"/>
      <c r="AQ35" s="88"/>
      <c r="AR35" s="88"/>
      <c r="AS35" s="88"/>
      <c r="AT35" s="88"/>
    </row>
    <row r="36" spans="1:46" ht="19.5" customHeight="1">
      <c r="A36" s="108"/>
      <c r="B36" s="152">
        <f t="shared" si="7"/>
        <v>34</v>
      </c>
      <c r="C36" s="356"/>
      <c r="D36" s="357"/>
      <c r="E36" s="358"/>
      <c r="F36" s="153">
        <f t="shared" si="8"/>
        <v>57</v>
      </c>
      <c r="G36" s="154">
        <f t="shared" si="9"/>
        <v>55</v>
      </c>
      <c r="H36" s="154">
        <f t="shared" si="10"/>
        <v>24</v>
      </c>
      <c r="I36" s="154">
        <f t="shared" si="11"/>
        <v>85</v>
      </c>
      <c r="J36" s="155">
        <f t="shared" si="12"/>
      </c>
      <c r="K36" s="94">
        <f t="shared" si="14"/>
        <v>300</v>
      </c>
      <c r="L36" s="95">
        <f t="shared" si="15"/>
        <v>200</v>
      </c>
      <c r="M36" s="146">
        <f>IF($F$18="いいえ",0,シート７!AF45)</f>
        <v>0</v>
      </c>
      <c r="N36" s="94"/>
      <c r="O36" s="148">
        <f t="shared" si="0"/>
        <v>500</v>
      </c>
      <c r="P36" s="98">
        <f t="shared" si="18"/>
        <v>250</v>
      </c>
      <c r="Q36" s="335">
        <f>+シート２!$F$30+R36</f>
        <v>15.19</v>
      </c>
      <c r="R36" s="336">
        <f>シート２!N35</f>
        <v>15.19</v>
      </c>
      <c r="S36" s="336">
        <f>IF($K$18="いいえ",シート７!X45,シート７!J19)</f>
        <v>0</v>
      </c>
      <c r="T36" s="100">
        <f t="shared" si="17"/>
        <v>24</v>
      </c>
      <c r="U36" s="100">
        <f t="shared" si="16"/>
        <v>36</v>
      </c>
      <c r="V36" s="100"/>
      <c r="W36" s="333">
        <f t="shared" si="13"/>
        <v>107.72901261328849</v>
      </c>
      <c r="X36" s="334">
        <f t="shared" si="5"/>
        <v>432.9190126132885</v>
      </c>
      <c r="Y36" s="238">
        <f t="shared" si="1"/>
        <v>67.08098738671151</v>
      </c>
      <c r="Z36" s="143">
        <f t="shared" si="2"/>
        <v>305.3695657603589</v>
      </c>
      <c r="AA36" s="348">
        <f t="shared" si="3"/>
        <v>728</v>
      </c>
      <c r="AB36" s="349">
        <f>IF(ISERROR(シート５!H129),"0",ROUND(シート５!H129/10000,0))</f>
        <v>0</v>
      </c>
      <c r="AC36" s="352">
        <f ca="1">IF(シート６!$H$1&lt;35,ROUND(INDIRECT("シート６!H"&amp;141-(シート６!$H$1-23)*12)/10000,0),0)</f>
        <v>728</v>
      </c>
      <c r="AD36" s="291"/>
      <c r="AE36" s="258"/>
      <c r="AF36" s="88">
        <f>IF(AB36=0,0,シート５!$E$7)</f>
        <v>0</v>
      </c>
      <c r="AG36" s="88">
        <f>IF(AC36=0,0,シート６!$E$7)</f>
        <v>89774.1771777404</v>
      </c>
      <c r="AH36" s="259">
        <f t="shared" si="6"/>
        <v>728</v>
      </c>
      <c r="AI36" s="88">
        <f t="shared" si="4"/>
        <v>107.72901261328849</v>
      </c>
      <c r="AJ36" s="88"/>
      <c r="AK36" s="88"/>
      <c r="AL36" s="88"/>
      <c r="AM36" s="88"/>
      <c r="AN36" s="88"/>
      <c r="AO36" s="88"/>
      <c r="AP36" s="88"/>
      <c r="AQ36" s="88"/>
      <c r="AR36" s="88"/>
      <c r="AS36" s="88"/>
      <c r="AT36" s="88"/>
    </row>
    <row r="37" spans="1:46" ht="19.5" customHeight="1">
      <c r="A37" s="108"/>
      <c r="B37" s="152">
        <f t="shared" si="7"/>
        <v>35</v>
      </c>
      <c r="C37" s="356"/>
      <c r="D37" s="357"/>
      <c r="E37" s="358"/>
      <c r="F37" s="153">
        <f t="shared" si="8"/>
        <v>58</v>
      </c>
      <c r="G37" s="154">
        <f t="shared" si="9"/>
        <v>56</v>
      </c>
      <c r="H37" s="154">
        <f t="shared" si="10"/>
        <v>25</v>
      </c>
      <c r="I37" s="154">
        <f t="shared" si="11"/>
        <v>86</v>
      </c>
      <c r="J37" s="155">
        <f t="shared" si="12"/>
      </c>
      <c r="K37" s="94">
        <f t="shared" si="14"/>
        <v>300</v>
      </c>
      <c r="L37" s="95">
        <f t="shared" si="15"/>
        <v>200</v>
      </c>
      <c r="M37" s="146">
        <f>IF($F$18="いいえ",0,シート７!AF46)</f>
        <v>0</v>
      </c>
      <c r="N37" s="94"/>
      <c r="O37" s="148">
        <f t="shared" si="0"/>
        <v>500</v>
      </c>
      <c r="P37" s="98">
        <f t="shared" si="18"/>
        <v>250</v>
      </c>
      <c r="Q37" s="335">
        <f>+シート２!$F$30+R37</f>
        <v>15.19</v>
      </c>
      <c r="R37" s="336">
        <f>シート２!N36</f>
        <v>15.19</v>
      </c>
      <c r="S37" s="336">
        <f>IF($K$18="いいえ",シート７!X46,シート７!J20)</f>
        <v>0</v>
      </c>
      <c r="T37" s="100">
        <f t="shared" si="17"/>
        <v>24</v>
      </c>
      <c r="U37" s="100">
        <f t="shared" si="16"/>
        <v>36</v>
      </c>
      <c r="V37" s="100"/>
      <c r="W37" s="333">
        <f t="shared" si="13"/>
        <v>107.72901261328849</v>
      </c>
      <c r="X37" s="334">
        <f t="shared" si="5"/>
        <v>432.9190126132885</v>
      </c>
      <c r="Y37" s="238">
        <f t="shared" si="1"/>
        <v>67.08098738671151</v>
      </c>
      <c r="Z37" s="143">
        <f t="shared" si="2"/>
        <v>372.4505531470704</v>
      </c>
      <c r="AA37" s="348">
        <f t="shared" si="3"/>
        <v>627</v>
      </c>
      <c r="AB37" s="349">
        <f>IF(ISERROR(シート５!H141),"0",ROUND(シート５!H141/10000,0))</f>
        <v>0</v>
      </c>
      <c r="AC37" s="352">
        <f ca="1">IF(シート６!$H$1&lt;36,ROUND(INDIRECT("シート６!H"&amp;153-(シート６!$H$1-23)*12)/10000,0),0)</f>
        <v>627</v>
      </c>
      <c r="AD37" s="291"/>
      <c r="AE37" s="258"/>
      <c r="AF37" s="88">
        <f>IF(AB37=0,0,シート５!$E$7)</f>
        <v>0</v>
      </c>
      <c r="AG37" s="88">
        <f>IF(AC37=0,0,シート６!$E$7)</f>
        <v>89774.1771777404</v>
      </c>
      <c r="AH37" s="259">
        <f t="shared" si="6"/>
        <v>627</v>
      </c>
      <c r="AI37" s="88">
        <f t="shared" si="4"/>
        <v>107.72901261328849</v>
      </c>
      <c r="AJ37" s="88"/>
      <c r="AK37" s="88"/>
      <c r="AL37" s="88"/>
      <c r="AM37" s="88"/>
      <c r="AN37" s="88"/>
      <c r="AO37" s="88"/>
      <c r="AP37" s="88"/>
      <c r="AQ37" s="88"/>
      <c r="AR37" s="88"/>
      <c r="AS37" s="88"/>
      <c r="AT37" s="88"/>
    </row>
    <row r="38" spans="1:46" ht="19.5" customHeight="1">
      <c r="A38" s="108"/>
      <c r="B38" s="152">
        <f t="shared" si="7"/>
        <v>36</v>
      </c>
      <c r="C38" s="356"/>
      <c r="D38" s="357"/>
      <c r="E38" s="358"/>
      <c r="F38" s="153">
        <f t="shared" si="8"/>
        <v>59</v>
      </c>
      <c r="G38" s="154">
        <f t="shared" si="9"/>
        <v>57</v>
      </c>
      <c r="H38" s="154">
        <f t="shared" si="10"/>
        <v>26</v>
      </c>
      <c r="I38" s="154">
        <f t="shared" si="11"/>
        <v>87</v>
      </c>
      <c r="J38" s="155">
        <f t="shared" si="12"/>
      </c>
      <c r="K38" s="94">
        <f t="shared" si="14"/>
        <v>300</v>
      </c>
      <c r="L38" s="95">
        <f aca="true" t="shared" si="19" ref="K38:L45">L37</f>
        <v>200</v>
      </c>
      <c r="M38" s="146">
        <f>IF($F$18="いいえ",0,シート７!AF47)</f>
        <v>0</v>
      </c>
      <c r="N38" s="94"/>
      <c r="O38" s="148">
        <f t="shared" si="0"/>
        <v>500</v>
      </c>
      <c r="P38" s="98">
        <f t="shared" si="18"/>
        <v>250</v>
      </c>
      <c r="Q38" s="335">
        <f>+シート２!$F$30+R38</f>
        <v>15.19</v>
      </c>
      <c r="R38" s="336">
        <f>シート２!N37</f>
        <v>15.19</v>
      </c>
      <c r="S38" s="336">
        <f>IF($K$18="いいえ",シート７!X47,シート７!J21)</f>
        <v>0</v>
      </c>
      <c r="T38" s="100">
        <f t="shared" si="17"/>
        <v>24</v>
      </c>
      <c r="U38" s="100">
        <f t="shared" si="16"/>
        <v>36</v>
      </c>
      <c r="V38" s="100"/>
      <c r="W38" s="333">
        <f t="shared" si="13"/>
        <v>107.72901261328849</v>
      </c>
      <c r="X38" s="334">
        <f t="shared" si="5"/>
        <v>432.9190126132885</v>
      </c>
      <c r="Y38" s="238">
        <f t="shared" si="1"/>
        <v>67.08098738671151</v>
      </c>
      <c r="Z38" s="143">
        <f t="shared" si="2"/>
        <v>439.53154053378194</v>
      </c>
      <c r="AA38" s="348">
        <f t="shared" si="3"/>
        <v>525</v>
      </c>
      <c r="AB38" s="349">
        <f>IF(ISERROR(シート５!H153),"0",ROUND(シート５!H153/10000,0))</f>
        <v>0</v>
      </c>
      <c r="AC38" s="352">
        <f ca="1">IF(シート６!$H$1&lt;37,ROUND(INDIRECT("シート６!H"&amp;165-(シート６!$H$1-23)*12)/10000,0),0)</f>
        <v>525</v>
      </c>
      <c r="AD38" s="291"/>
      <c r="AE38" s="258"/>
      <c r="AF38" s="88">
        <f>IF(AB38=0,0,シート５!$E$7)</f>
        <v>0</v>
      </c>
      <c r="AG38" s="88">
        <f>IF(AC38=0,0,シート６!$E$7)</f>
        <v>89774.1771777404</v>
      </c>
      <c r="AH38" s="259">
        <f t="shared" si="6"/>
        <v>525</v>
      </c>
      <c r="AI38" s="88">
        <f t="shared" si="4"/>
        <v>107.72901261328849</v>
      </c>
      <c r="AJ38" s="88"/>
      <c r="AK38" s="88"/>
      <c r="AL38" s="88"/>
      <c r="AM38" s="88"/>
      <c r="AN38" s="88"/>
      <c r="AO38" s="88"/>
      <c r="AP38" s="88"/>
      <c r="AQ38" s="88"/>
      <c r="AR38" s="88"/>
      <c r="AS38" s="88"/>
      <c r="AT38" s="88"/>
    </row>
    <row r="39" spans="1:46" ht="19.5" customHeight="1">
      <c r="A39" s="108"/>
      <c r="B39" s="152">
        <f t="shared" si="7"/>
        <v>37</v>
      </c>
      <c r="C39" s="356" t="s">
        <v>286</v>
      </c>
      <c r="D39" s="357"/>
      <c r="E39" s="358"/>
      <c r="F39" s="153">
        <f t="shared" si="8"/>
        <v>60</v>
      </c>
      <c r="G39" s="154">
        <f t="shared" si="9"/>
        <v>58</v>
      </c>
      <c r="H39" s="154">
        <f t="shared" si="10"/>
        <v>27</v>
      </c>
      <c r="I39" s="154">
        <f t="shared" si="11"/>
        <v>88</v>
      </c>
      <c r="J39" s="155">
        <f t="shared" si="12"/>
      </c>
      <c r="K39" s="94">
        <v>250</v>
      </c>
      <c r="L39" s="95">
        <f t="shared" si="19"/>
        <v>200</v>
      </c>
      <c r="M39" s="146">
        <f>IF($F$18="いいえ",0,シート７!AF48)</f>
        <v>0</v>
      </c>
      <c r="N39" s="94"/>
      <c r="O39" s="148">
        <f t="shared" si="0"/>
        <v>450</v>
      </c>
      <c r="P39" s="98">
        <f t="shared" si="18"/>
        <v>250</v>
      </c>
      <c r="Q39" s="335">
        <f>+シート２!$F$30+R39</f>
        <v>15.19</v>
      </c>
      <c r="R39" s="336">
        <f>シート２!N38</f>
        <v>15.19</v>
      </c>
      <c r="S39" s="336">
        <f>IF($K$18="いいえ",シート７!X48,シート７!J22)</f>
        <v>0</v>
      </c>
      <c r="T39" s="100">
        <f t="shared" si="17"/>
        <v>24</v>
      </c>
      <c r="U39" s="100">
        <f t="shared" si="16"/>
        <v>36</v>
      </c>
      <c r="V39" s="100"/>
      <c r="W39" s="333">
        <f t="shared" si="13"/>
        <v>107.72901261328849</v>
      </c>
      <c r="X39" s="334">
        <f t="shared" si="5"/>
        <v>432.9190126132885</v>
      </c>
      <c r="Y39" s="238">
        <f t="shared" si="1"/>
        <v>17.080987386711513</v>
      </c>
      <c r="Z39" s="143">
        <f t="shared" si="2"/>
        <v>456.61252792049345</v>
      </c>
      <c r="AA39" s="348">
        <f t="shared" si="3"/>
        <v>422</v>
      </c>
      <c r="AB39" s="349">
        <f>IF(ISERROR(シート５!H165),"0",ROUND(シート５!H165/10000,0))</f>
        <v>0</v>
      </c>
      <c r="AC39" s="352">
        <f ca="1">IF(シート６!$H$1&lt;38,ROUND(INDIRECT("シート６!H"&amp;177-(シート６!$H$1-23)*12)/10000,0),0)</f>
        <v>422</v>
      </c>
      <c r="AD39" s="291"/>
      <c r="AE39" s="258"/>
      <c r="AF39" s="88">
        <f>IF(AB39=0,0,シート５!$E$7)</f>
        <v>0</v>
      </c>
      <c r="AG39" s="88">
        <f>IF(AC39=0,0,シート６!$E$7)</f>
        <v>89774.1771777404</v>
      </c>
      <c r="AH39" s="259">
        <f t="shared" si="6"/>
        <v>422</v>
      </c>
      <c r="AI39" s="88">
        <f t="shared" si="4"/>
        <v>107.72901261328849</v>
      </c>
      <c r="AJ39" s="88"/>
      <c r="AK39" s="88"/>
      <c r="AL39" s="88"/>
      <c r="AM39" s="88"/>
      <c r="AN39" s="88"/>
      <c r="AO39" s="88"/>
      <c r="AP39" s="88"/>
      <c r="AQ39" s="88"/>
      <c r="AR39" s="88"/>
      <c r="AS39" s="88"/>
      <c r="AT39" s="88"/>
    </row>
    <row r="40" spans="1:46" ht="19.5" customHeight="1">
      <c r="A40" s="108"/>
      <c r="B40" s="152">
        <f t="shared" si="7"/>
        <v>38</v>
      </c>
      <c r="C40" s="356"/>
      <c r="D40" s="357"/>
      <c r="E40" s="358"/>
      <c r="F40" s="153">
        <f t="shared" si="8"/>
        <v>61</v>
      </c>
      <c r="G40" s="154">
        <f t="shared" si="9"/>
        <v>59</v>
      </c>
      <c r="H40" s="154">
        <f t="shared" si="10"/>
        <v>28</v>
      </c>
      <c r="I40" s="154">
        <f t="shared" si="11"/>
        <v>89</v>
      </c>
      <c r="J40" s="155">
        <f t="shared" si="12"/>
      </c>
      <c r="K40" s="94">
        <f t="shared" si="19"/>
        <v>250</v>
      </c>
      <c r="L40" s="95">
        <f t="shared" si="19"/>
        <v>200</v>
      </c>
      <c r="M40" s="146">
        <f>IF($F$18="いいえ",0,シート７!AF49)</f>
        <v>0</v>
      </c>
      <c r="N40" s="94"/>
      <c r="O40" s="148">
        <f t="shared" si="0"/>
        <v>450</v>
      </c>
      <c r="P40" s="98">
        <f t="shared" si="18"/>
        <v>250</v>
      </c>
      <c r="Q40" s="335">
        <f>+シート２!$F$30+R40</f>
        <v>15.19</v>
      </c>
      <c r="R40" s="336">
        <f>シート２!N39</f>
        <v>15.19</v>
      </c>
      <c r="S40" s="336">
        <f>IF($K$18="いいえ",シート７!X49,シート７!J23)</f>
        <v>0</v>
      </c>
      <c r="T40" s="100">
        <f>T39</f>
        <v>24</v>
      </c>
      <c r="U40" s="100">
        <f t="shared" si="16"/>
        <v>36</v>
      </c>
      <c r="V40" s="100"/>
      <c r="W40" s="333">
        <f t="shared" si="13"/>
        <v>107.72901261328849</v>
      </c>
      <c r="X40" s="334">
        <f t="shared" si="5"/>
        <v>432.9190126132885</v>
      </c>
      <c r="Y40" s="238">
        <f t="shared" si="1"/>
        <v>17.080987386711513</v>
      </c>
      <c r="Z40" s="143">
        <f t="shared" si="2"/>
        <v>473.69351530720496</v>
      </c>
      <c r="AA40" s="348">
        <f t="shared" si="3"/>
        <v>318</v>
      </c>
      <c r="AB40" s="349">
        <f>IF(ISERROR(シート５!H177),"0",ROUND(シート５!H177/10000,0))</f>
        <v>0</v>
      </c>
      <c r="AC40" s="352">
        <f ca="1">IF(シート６!$H$1&lt;39,ROUND(INDIRECT("シート６!H"&amp;189-(シート６!$H$1-23)*12)/10000,0),0)</f>
        <v>318</v>
      </c>
      <c r="AD40" s="291"/>
      <c r="AE40" s="258"/>
      <c r="AF40" s="88">
        <f>IF(AB40=0,0,シート５!$E$7)</f>
        <v>0</v>
      </c>
      <c r="AG40" s="88">
        <f>IF(AC40=0,0,シート６!$E$7)</f>
        <v>89774.1771777404</v>
      </c>
      <c r="AH40" s="259">
        <f t="shared" si="6"/>
        <v>318</v>
      </c>
      <c r="AI40" s="88">
        <f t="shared" si="4"/>
        <v>107.72901261328849</v>
      </c>
      <c r="AJ40" s="88"/>
      <c r="AK40" s="88"/>
      <c r="AL40" s="88"/>
      <c r="AM40" s="88"/>
      <c r="AN40" s="88"/>
      <c r="AO40" s="88"/>
      <c r="AP40" s="88"/>
      <c r="AQ40" s="88"/>
      <c r="AR40" s="88"/>
      <c r="AS40" s="88"/>
      <c r="AT40" s="88"/>
    </row>
    <row r="41" spans="1:46" ht="19.5" customHeight="1">
      <c r="A41" s="108"/>
      <c r="B41" s="152">
        <f t="shared" si="7"/>
        <v>39</v>
      </c>
      <c r="C41" s="356"/>
      <c r="D41" s="357"/>
      <c r="E41" s="358"/>
      <c r="F41" s="153">
        <f t="shared" si="8"/>
        <v>62</v>
      </c>
      <c r="G41" s="154">
        <f t="shared" si="9"/>
        <v>60</v>
      </c>
      <c r="H41" s="154">
        <f t="shared" si="10"/>
        <v>29</v>
      </c>
      <c r="I41" s="154">
        <f t="shared" si="11"/>
        <v>90</v>
      </c>
      <c r="J41" s="155">
        <f t="shared" si="12"/>
      </c>
      <c r="K41" s="94">
        <f t="shared" si="19"/>
        <v>250</v>
      </c>
      <c r="L41" s="95">
        <f t="shared" si="19"/>
        <v>200</v>
      </c>
      <c r="M41" s="146">
        <f>IF($F$18="いいえ",0,シート７!AF50)</f>
        <v>0</v>
      </c>
      <c r="N41" s="94"/>
      <c r="O41" s="148">
        <f t="shared" si="0"/>
        <v>450</v>
      </c>
      <c r="P41" s="98">
        <f t="shared" si="18"/>
        <v>250</v>
      </c>
      <c r="Q41" s="335">
        <f>+シート２!$F$30+R41</f>
        <v>15.19</v>
      </c>
      <c r="R41" s="336">
        <f>シート２!N40</f>
        <v>15.19</v>
      </c>
      <c r="S41" s="336">
        <f>IF($K$18="いいえ",シート７!X50,シート７!J24)</f>
        <v>0</v>
      </c>
      <c r="T41" s="100">
        <f t="shared" si="17"/>
        <v>24</v>
      </c>
      <c r="U41" s="100">
        <f t="shared" si="16"/>
        <v>36</v>
      </c>
      <c r="V41" s="100"/>
      <c r="W41" s="333">
        <f t="shared" si="13"/>
        <v>107.72901261328849</v>
      </c>
      <c r="X41" s="334">
        <f t="shared" si="5"/>
        <v>432.9190126132885</v>
      </c>
      <c r="Y41" s="238">
        <f t="shared" si="1"/>
        <v>17.080987386711513</v>
      </c>
      <c r="Z41" s="143">
        <f t="shared" si="2"/>
        <v>490.7745026939165</v>
      </c>
      <c r="AA41" s="348">
        <f t="shared" si="3"/>
        <v>213</v>
      </c>
      <c r="AB41" s="349">
        <f>IF(ISERROR(シート５!H189),"0",ROUND(シート５!H189/10000,0))</f>
        <v>0</v>
      </c>
      <c r="AC41" s="352">
        <f ca="1">IF(シート６!$H$1&lt;40,ROUND(INDIRECT("シート６!H"&amp;201-(シート６!$H$1-23)*12)/10000,0),0)</f>
        <v>213</v>
      </c>
      <c r="AD41" s="291"/>
      <c r="AE41" s="258"/>
      <c r="AF41" s="88">
        <f>IF(AB41=0,0,シート５!$E$7)</f>
        <v>0</v>
      </c>
      <c r="AG41" s="88">
        <f>IF(AC41=0,0,シート６!$E$7)</f>
        <v>89774.1771777404</v>
      </c>
      <c r="AH41" s="259">
        <f t="shared" si="6"/>
        <v>213</v>
      </c>
      <c r="AI41" s="88">
        <f t="shared" si="4"/>
        <v>107.72901261328849</v>
      </c>
      <c r="AJ41" s="88"/>
      <c r="AK41" s="88"/>
      <c r="AL41" s="88"/>
      <c r="AM41" s="88"/>
      <c r="AN41" s="88"/>
      <c r="AO41" s="88"/>
      <c r="AP41" s="88"/>
      <c r="AQ41" s="88"/>
      <c r="AR41" s="88"/>
      <c r="AS41" s="88"/>
      <c r="AT41" s="88"/>
    </row>
    <row r="42" spans="1:46" ht="19.5" customHeight="1">
      <c r="A42" s="108"/>
      <c r="B42" s="152">
        <f t="shared" si="7"/>
        <v>40</v>
      </c>
      <c r="C42" s="356"/>
      <c r="D42" s="357"/>
      <c r="E42" s="358"/>
      <c r="F42" s="153">
        <f t="shared" si="8"/>
        <v>63</v>
      </c>
      <c r="G42" s="154">
        <f t="shared" si="9"/>
        <v>61</v>
      </c>
      <c r="H42" s="154">
        <f t="shared" si="10"/>
        <v>30</v>
      </c>
      <c r="I42" s="154">
        <f t="shared" si="11"/>
        <v>91</v>
      </c>
      <c r="J42" s="155">
        <f t="shared" si="12"/>
      </c>
      <c r="K42" s="94">
        <f t="shared" si="19"/>
        <v>250</v>
      </c>
      <c r="L42" s="95">
        <f t="shared" si="19"/>
        <v>200</v>
      </c>
      <c r="M42" s="146">
        <f>IF($F$18="いいえ",0,シート７!AF51)</f>
        <v>0</v>
      </c>
      <c r="N42" s="94"/>
      <c r="O42" s="148">
        <f t="shared" si="0"/>
        <v>450</v>
      </c>
      <c r="P42" s="98">
        <f aca="true" t="shared" si="20" ref="P42:P50">P41</f>
        <v>250</v>
      </c>
      <c r="Q42" s="335">
        <f>+シート２!$F$30+R42</f>
        <v>15.19</v>
      </c>
      <c r="R42" s="336">
        <f>シート２!N41</f>
        <v>15.19</v>
      </c>
      <c r="S42" s="336">
        <f>IF($K$18="いいえ",シート７!X51,シート７!J25)</f>
        <v>0</v>
      </c>
      <c r="T42" s="100">
        <f t="shared" si="17"/>
        <v>24</v>
      </c>
      <c r="U42" s="100">
        <f t="shared" si="16"/>
        <v>36</v>
      </c>
      <c r="V42" s="100"/>
      <c r="W42" s="333">
        <f t="shared" si="13"/>
        <v>107.72901261328849</v>
      </c>
      <c r="X42" s="334">
        <f t="shared" si="5"/>
        <v>432.9190126132885</v>
      </c>
      <c r="Y42" s="238">
        <f t="shared" si="1"/>
        <v>17.080987386711513</v>
      </c>
      <c r="Z42" s="143">
        <f t="shared" si="2"/>
        <v>507.855490080628</v>
      </c>
      <c r="AA42" s="348">
        <f t="shared" si="3"/>
        <v>107</v>
      </c>
      <c r="AB42" s="349">
        <f>IF(ISERROR(シート５!H201),"0",ROUND(シート５!H201/10000,0))</f>
        <v>0</v>
      </c>
      <c r="AC42" s="352">
        <f ca="1">IF(シート６!$H$1&lt;41,ROUND(INDIRECT("シート６!H"&amp;213-(シート６!$H$1-23)*12)/10000,0),0)</f>
        <v>107</v>
      </c>
      <c r="AD42" s="291"/>
      <c r="AE42" s="258"/>
      <c r="AF42" s="88">
        <f>IF(AB42=0,0,シート５!$E$7)</f>
        <v>0</v>
      </c>
      <c r="AG42" s="88">
        <f>IF(AC42=0,0,シート６!$E$7)</f>
        <v>89774.1771777404</v>
      </c>
      <c r="AH42" s="259">
        <f t="shared" si="6"/>
        <v>107</v>
      </c>
      <c r="AI42" s="88">
        <f t="shared" si="4"/>
        <v>107.72901261328849</v>
      </c>
      <c r="AJ42" s="88"/>
      <c r="AK42" s="88"/>
      <c r="AL42" s="88"/>
      <c r="AM42" s="88"/>
      <c r="AN42" s="88"/>
      <c r="AO42" s="88"/>
      <c r="AP42" s="88"/>
      <c r="AQ42" s="88"/>
      <c r="AR42" s="88"/>
      <c r="AS42" s="88"/>
      <c r="AT42" s="88"/>
    </row>
    <row r="43" spans="1:46" ht="19.5" customHeight="1">
      <c r="A43" s="108"/>
      <c r="B43" s="152">
        <f t="shared" si="7"/>
        <v>41</v>
      </c>
      <c r="C43" s="356"/>
      <c r="D43" s="357"/>
      <c r="E43" s="358"/>
      <c r="F43" s="153">
        <f t="shared" si="8"/>
        <v>64</v>
      </c>
      <c r="G43" s="154">
        <f t="shared" si="9"/>
        <v>62</v>
      </c>
      <c r="H43" s="154">
        <f t="shared" si="10"/>
        <v>31</v>
      </c>
      <c r="I43" s="154">
        <f t="shared" si="11"/>
        <v>92</v>
      </c>
      <c r="J43" s="155">
        <f t="shared" si="12"/>
      </c>
      <c r="K43" s="94">
        <f t="shared" si="19"/>
        <v>250</v>
      </c>
      <c r="L43" s="95">
        <f t="shared" si="19"/>
        <v>200</v>
      </c>
      <c r="M43" s="146">
        <f>IF($F$18="いいえ",0,シート７!AF52)</f>
        <v>0</v>
      </c>
      <c r="N43" s="94"/>
      <c r="O43" s="148">
        <f t="shared" si="0"/>
        <v>450</v>
      </c>
      <c r="P43" s="98">
        <f t="shared" si="20"/>
        <v>250</v>
      </c>
      <c r="Q43" s="335">
        <f>+シート２!$F$30+R43</f>
        <v>15.19</v>
      </c>
      <c r="R43" s="336">
        <f>シート２!N42</f>
        <v>15.19</v>
      </c>
      <c r="S43" s="336">
        <f>IF($K$18="いいえ",シート７!X52,シート７!J26)</f>
        <v>0</v>
      </c>
      <c r="T43" s="100">
        <f t="shared" si="17"/>
        <v>24</v>
      </c>
      <c r="U43" s="100">
        <f t="shared" si="16"/>
        <v>36</v>
      </c>
      <c r="V43" s="100"/>
      <c r="W43" s="333">
        <f t="shared" si="13"/>
        <v>107</v>
      </c>
      <c r="X43" s="334">
        <f t="shared" si="5"/>
        <v>432.19</v>
      </c>
      <c r="Y43" s="238">
        <f t="shared" si="1"/>
        <v>17.810000000000002</v>
      </c>
      <c r="Z43" s="143">
        <f t="shared" si="2"/>
        <v>525.6654900806279</v>
      </c>
      <c r="AA43" s="348">
        <f t="shared" si="3"/>
        <v>0</v>
      </c>
      <c r="AB43" s="349">
        <f>IF(ISERROR(シート５!H213),"0",ROUND(シート５!H213/10000,0))</f>
        <v>0</v>
      </c>
      <c r="AC43" s="352">
        <f ca="1">IF(シート６!$H$1&lt;42,ROUND(INDIRECT("シート６!H"&amp;225-(シート６!$H$1-23)*12)/10000,0),0)</f>
        <v>0</v>
      </c>
      <c r="AD43" s="291"/>
      <c r="AE43" s="258"/>
      <c r="AF43" s="88">
        <f>IF(AB43=0,0,シート５!$E$7)</f>
        <v>0</v>
      </c>
      <c r="AG43" s="88">
        <f>IF(AC43=0,0,シート６!$E$7)</f>
        <v>0</v>
      </c>
      <c r="AH43" s="259">
        <f t="shared" si="6"/>
        <v>0</v>
      </c>
      <c r="AI43" s="88">
        <f t="shared" si="4"/>
        <v>0</v>
      </c>
      <c r="AJ43" s="88"/>
      <c r="AK43" s="88"/>
      <c r="AL43" s="88"/>
      <c r="AM43" s="88"/>
      <c r="AN43" s="88"/>
      <c r="AO43" s="88"/>
      <c r="AP43" s="88"/>
      <c r="AQ43" s="88"/>
      <c r="AR43" s="88"/>
      <c r="AS43" s="88"/>
      <c r="AT43" s="88"/>
    </row>
    <row r="44" spans="1:46" ht="19.5" customHeight="1">
      <c r="A44" s="108"/>
      <c r="B44" s="152">
        <f t="shared" si="7"/>
        <v>42</v>
      </c>
      <c r="C44" s="356" t="s">
        <v>287</v>
      </c>
      <c r="D44" s="357"/>
      <c r="E44" s="358"/>
      <c r="F44" s="153">
        <f t="shared" si="8"/>
        <v>65</v>
      </c>
      <c r="G44" s="154">
        <f t="shared" si="9"/>
        <v>63</v>
      </c>
      <c r="H44" s="154">
        <f t="shared" si="10"/>
        <v>32</v>
      </c>
      <c r="I44" s="154">
        <f t="shared" si="11"/>
        <v>93</v>
      </c>
      <c r="J44" s="155">
        <f t="shared" si="12"/>
      </c>
      <c r="K44" s="94">
        <v>160</v>
      </c>
      <c r="L44" s="95">
        <v>0</v>
      </c>
      <c r="M44" s="146">
        <f>IF($F$18="いいえ",0,シート７!AF53)</f>
        <v>0</v>
      </c>
      <c r="N44" s="94"/>
      <c r="O44" s="148">
        <f t="shared" si="0"/>
        <v>160</v>
      </c>
      <c r="P44" s="98">
        <v>190</v>
      </c>
      <c r="Q44" s="335">
        <f>+シート２!$F$30+R44</f>
        <v>15.19</v>
      </c>
      <c r="R44" s="336">
        <f>シート２!N43</f>
        <v>15.19</v>
      </c>
      <c r="S44" s="336">
        <f>IF($K$18="いいえ",シート７!X53,シート７!J27)</f>
        <v>0</v>
      </c>
      <c r="T44" s="100">
        <f t="shared" si="17"/>
        <v>24</v>
      </c>
      <c r="U44" s="100">
        <v>24</v>
      </c>
      <c r="V44" s="100"/>
      <c r="W44" s="333">
        <f t="shared" si="13"/>
        <v>0</v>
      </c>
      <c r="X44" s="334">
        <f t="shared" si="5"/>
        <v>253.19</v>
      </c>
      <c r="Y44" s="238">
        <f t="shared" si="1"/>
        <v>-93.19</v>
      </c>
      <c r="Z44" s="143">
        <f t="shared" si="2"/>
        <v>432.47549008062794</v>
      </c>
      <c r="AA44" s="348">
        <f t="shared" si="3"/>
        <v>0</v>
      </c>
      <c r="AB44" s="349">
        <f>IF(ISERROR(シート５!H225),"0",ROUND(シート５!H225/10000,0))</f>
        <v>0</v>
      </c>
      <c r="AC44" s="352">
        <f ca="1">IF(シート６!$H$1&lt;43,ROUND(INDIRECT("シート６!H"&amp;237-(シート６!$H$1-23)*12)/10000,0),0)</f>
        <v>0</v>
      </c>
      <c r="AD44" s="291"/>
      <c r="AE44" s="258"/>
      <c r="AF44" s="88">
        <f>IF(AB44=0,0,シート５!$E$7)</f>
        <v>0</v>
      </c>
      <c r="AG44" s="88">
        <f>IF(AC44=0,0,シート６!$E$7)</f>
        <v>0</v>
      </c>
      <c r="AH44" s="259">
        <f t="shared" si="6"/>
        <v>0</v>
      </c>
      <c r="AI44" s="88">
        <f t="shared" si="4"/>
        <v>0</v>
      </c>
      <c r="AJ44" s="88"/>
      <c r="AK44" s="88"/>
      <c r="AL44" s="88"/>
      <c r="AM44" s="88"/>
      <c r="AN44" s="88"/>
      <c r="AO44" s="88"/>
      <c r="AP44" s="88"/>
      <c r="AQ44" s="88"/>
      <c r="AR44" s="88"/>
      <c r="AS44" s="88"/>
      <c r="AT44" s="88"/>
    </row>
    <row r="45" spans="1:46" ht="19.5" customHeight="1">
      <c r="A45" s="108"/>
      <c r="B45" s="152">
        <f t="shared" si="7"/>
        <v>43</v>
      </c>
      <c r="C45" s="356" t="s">
        <v>288</v>
      </c>
      <c r="D45" s="357"/>
      <c r="E45" s="358"/>
      <c r="F45" s="153">
        <f t="shared" si="8"/>
        <v>66</v>
      </c>
      <c r="G45" s="154">
        <f t="shared" si="9"/>
        <v>64</v>
      </c>
      <c r="H45" s="154">
        <f t="shared" si="10"/>
        <v>33</v>
      </c>
      <c r="I45" s="154">
        <f t="shared" si="11"/>
        <v>94</v>
      </c>
      <c r="J45" s="155">
        <f t="shared" si="12"/>
      </c>
      <c r="K45" s="94">
        <f t="shared" si="19"/>
        <v>160</v>
      </c>
      <c r="L45" s="95">
        <f t="shared" si="19"/>
        <v>0</v>
      </c>
      <c r="M45" s="146">
        <f>IF($F$18="いいえ",0,シート７!AF54)</f>
        <v>0</v>
      </c>
      <c r="N45" s="94"/>
      <c r="O45" s="148">
        <f aca="true" t="shared" si="21" ref="O45:O50">SUM(K45:N45)</f>
        <v>160</v>
      </c>
      <c r="P45" s="98">
        <f t="shared" si="20"/>
        <v>190</v>
      </c>
      <c r="Q45" s="335">
        <f>+シート２!$F$30+R45</f>
        <v>15.19</v>
      </c>
      <c r="R45" s="336">
        <f>シート２!N44</f>
        <v>15.19</v>
      </c>
      <c r="S45" s="336">
        <f>IF($K$18="いいえ",シート７!X54,シート７!J28)</f>
        <v>0</v>
      </c>
      <c r="T45" s="100">
        <f t="shared" si="17"/>
        <v>24</v>
      </c>
      <c r="U45" s="100">
        <f t="shared" si="16"/>
        <v>24</v>
      </c>
      <c r="V45" s="100">
        <v>200</v>
      </c>
      <c r="W45" s="333">
        <f t="shared" si="13"/>
        <v>0</v>
      </c>
      <c r="X45" s="334">
        <f t="shared" si="5"/>
        <v>453.19</v>
      </c>
      <c r="Y45" s="238">
        <f t="shared" si="1"/>
        <v>-293.19</v>
      </c>
      <c r="Z45" s="143">
        <f t="shared" si="2"/>
        <v>139.28549008062788</v>
      </c>
      <c r="AA45" s="348">
        <f aca="true" t="shared" si="22" ref="AA45:AA50">SUM(AB45:AC45)</f>
        <v>0</v>
      </c>
      <c r="AB45" s="349">
        <f>IF(ISERROR(シート５!H237),"0",ROUND(シート５!H237/10000,0))</f>
        <v>0</v>
      </c>
      <c r="AC45" s="352">
        <f ca="1">IF(シート６!$H$1&lt;44,ROUND(INDIRECT("シート６!H"&amp;249-(シート６!$H$1-23)*12)/10000,0),0)</f>
        <v>0</v>
      </c>
      <c r="AD45" s="291"/>
      <c r="AE45" s="258"/>
      <c r="AF45" s="88">
        <f>IF(AB45=0,0,シート５!$E$7)</f>
        <v>0</v>
      </c>
      <c r="AG45" s="88">
        <f>IF(AC45=0,0,シート６!$E$7)</f>
        <v>0</v>
      </c>
      <c r="AH45" s="259">
        <f t="shared" si="6"/>
        <v>0</v>
      </c>
      <c r="AI45" s="88">
        <f aca="true" t="shared" si="23" ref="AI45:AI50">IF(ISERROR((AF45+AG45)/10000*12)," ",(AF45+AG45)/10000*12)</f>
        <v>0</v>
      </c>
      <c r="AJ45" s="88"/>
      <c r="AK45" s="88"/>
      <c r="AL45" s="88"/>
      <c r="AM45" s="88"/>
      <c r="AN45" s="88"/>
      <c r="AO45" s="88"/>
      <c r="AP45" s="88"/>
      <c r="AQ45" s="88"/>
      <c r="AR45" s="88"/>
      <c r="AS45" s="88"/>
      <c r="AT45" s="88"/>
    </row>
    <row r="46" spans="1:46" ht="19.5" customHeight="1">
      <c r="A46" s="108"/>
      <c r="B46" s="152">
        <f t="shared" si="7"/>
        <v>44</v>
      </c>
      <c r="C46" s="356"/>
      <c r="D46" s="357"/>
      <c r="E46" s="358"/>
      <c r="F46" s="153">
        <f t="shared" si="8"/>
        <v>67</v>
      </c>
      <c r="G46" s="154">
        <f t="shared" si="9"/>
        <v>65</v>
      </c>
      <c r="H46" s="154">
        <f t="shared" si="10"/>
        <v>34</v>
      </c>
      <c r="I46" s="154">
        <f t="shared" si="11"/>
        <v>95</v>
      </c>
      <c r="J46" s="155">
        <f t="shared" si="12"/>
      </c>
      <c r="K46" s="94">
        <f>K45</f>
        <v>160</v>
      </c>
      <c r="L46" s="95">
        <v>100</v>
      </c>
      <c r="M46" s="146">
        <f>IF($F$18="いいえ",0,シート７!AF55)</f>
        <v>0</v>
      </c>
      <c r="N46" s="94"/>
      <c r="O46" s="148">
        <f t="shared" si="21"/>
        <v>260</v>
      </c>
      <c r="P46" s="98">
        <f t="shared" si="20"/>
        <v>190</v>
      </c>
      <c r="Q46" s="335">
        <f>+シート２!$F$30+R46</f>
        <v>15.19</v>
      </c>
      <c r="R46" s="336">
        <f>シート２!N45</f>
        <v>15.19</v>
      </c>
      <c r="S46" s="336">
        <f>IF($K$18="いいえ",シート７!X55,シート７!J29)</f>
        <v>0</v>
      </c>
      <c r="T46" s="100">
        <f t="shared" si="17"/>
        <v>24</v>
      </c>
      <c r="U46" s="100">
        <f t="shared" si="16"/>
        <v>24</v>
      </c>
      <c r="V46" s="100"/>
      <c r="W46" s="333">
        <f t="shared" si="13"/>
        <v>0</v>
      </c>
      <c r="X46" s="334">
        <f t="shared" si="5"/>
        <v>253.19</v>
      </c>
      <c r="Y46" s="238">
        <f t="shared" si="1"/>
        <v>6.810000000000002</v>
      </c>
      <c r="Z46" s="143">
        <f t="shared" si="2"/>
        <v>146.09549008062788</v>
      </c>
      <c r="AA46" s="348">
        <f t="shared" si="22"/>
        <v>0</v>
      </c>
      <c r="AB46" s="349">
        <f>IF(ISERROR(シート５!H249),"0",ROUND(シート５!H249/10000,0))</f>
        <v>0</v>
      </c>
      <c r="AC46" s="352">
        <f ca="1">IF(シート６!$H$1&lt;45,ROUND(INDIRECT("シート６!H"&amp;261-(シート６!$H$1-23)*12)/10000,0),0)</f>
        <v>0</v>
      </c>
      <c r="AD46" s="291"/>
      <c r="AE46" s="258"/>
      <c r="AF46" s="88">
        <f>IF(AB46=0,0,シート５!$E$7)</f>
        <v>0</v>
      </c>
      <c r="AG46" s="88">
        <f>IF(AC46=0,0,シート６!$E$7)</f>
        <v>0</v>
      </c>
      <c r="AH46" s="259">
        <f t="shared" si="6"/>
        <v>0</v>
      </c>
      <c r="AI46" s="88">
        <f t="shared" si="23"/>
        <v>0</v>
      </c>
      <c r="AJ46" s="88"/>
      <c r="AK46" s="88"/>
      <c r="AL46" s="88"/>
      <c r="AM46" s="88"/>
      <c r="AN46" s="88"/>
      <c r="AO46" s="88"/>
      <c r="AP46" s="88"/>
      <c r="AQ46" s="88"/>
      <c r="AR46" s="88"/>
      <c r="AS46" s="88"/>
      <c r="AT46" s="88"/>
    </row>
    <row r="47" spans="1:46" ht="19.5" customHeight="1">
      <c r="A47" s="108"/>
      <c r="B47" s="152">
        <f t="shared" si="7"/>
        <v>45</v>
      </c>
      <c r="C47" s="356"/>
      <c r="D47" s="357"/>
      <c r="E47" s="358"/>
      <c r="F47" s="153">
        <f t="shared" si="8"/>
        <v>68</v>
      </c>
      <c r="G47" s="154">
        <f t="shared" si="9"/>
        <v>66</v>
      </c>
      <c r="H47" s="154">
        <f t="shared" si="10"/>
        <v>35</v>
      </c>
      <c r="I47" s="154">
        <f t="shared" si="11"/>
        <v>96</v>
      </c>
      <c r="J47" s="155">
        <f t="shared" si="12"/>
      </c>
      <c r="K47" s="94">
        <f aca="true" t="shared" si="24" ref="K47:L50">K46</f>
        <v>160</v>
      </c>
      <c r="L47" s="95">
        <f t="shared" si="24"/>
        <v>100</v>
      </c>
      <c r="M47" s="146">
        <f>IF($F$18="いいえ",0,シート７!AF56)</f>
        <v>0</v>
      </c>
      <c r="N47" s="94"/>
      <c r="O47" s="148">
        <f t="shared" si="21"/>
        <v>260</v>
      </c>
      <c r="P47" s="98">
        <f t="shared" si="20"/>
        <v>190</v>
      </c>
      <c r="Q47" s="335">
        <f>+シート２!$F$30+R47</f>
        <v>15.19</v>
      </c>
      <c r="R47" s="336">
        <f>シート２!N46</f>
        <v>15.19</v>
      </c>
      <c r="S47" s="336">
        <f>IF($K$18="いいえ",シート７!X56,シート７!J30)</f>
        <v>0</v>
      </c>
      <c r="T47" s="100">
        <f t="shared" si="17"/>
        <v>24</v>
      </c>
      <c r="U47" s="100">
        <f t="shared" si="16"/>
        <v>24</v>
      </c>
      <c r="V47" s="100"/>
      <c r="W47" s="333">
        <f t="shared" si="13"/>
        <v>0</v>
      </c>
      <c r="X47" s="334">
        <f t="shared" si="5"/>
        <v>253.19</v>
      </c>
      <c r="Y47" s="238">
        <f t="shared" si="1"/>
        <v>6.810000000000002</v>
      </c>
      <c r="Z47" s="143">
        <f t="shared" si="2"/>
        <v>152.90549008062789</v>
      </c>
      <c r="AA47" s="348">
        <f t="shared" si="22"/>
        <v>0</v>
      </c>
      <c r="AB47" s="349">
        <f>IF(ISERROR(シート５!H261),"0",ROUND(シート５!H261/10000,0))</f>
        <v>0</v>
      </c>
      <c r="AC47" s="352">
        <f ca="1">IF(シート６!$H$1&lt;46,ROUND(INDIRECT("シート６!H"&amp;273-(シート６!$H$1-23)*12)/10000,0),0)</f>
        <v>0</v>
      </c>
      <c r="AD47" s="291"/>
      <c r="AE47" s="258"/>
      <c r="AF47" s="88">
        <f>IF(AB47=0,0,シート５!$E$7)</f>
        <v>0</v>
      </c>
      <c r="AG47" s="88">
        <f>IF(AC47=0,0,シート６!$E$7)</f>
        <v>0</v>
      </c>
      <c r="AH47" s="259">
        <f t="shared" si="6"/>
        <v>0</v>
      </c>
      <c r="AI47" s="88">
        <f t="shared" si="23"/>
        <v>0</v>
      </c>
      <c r="AJ47" s="88"/>
      <c r="AK47" s="88"/>
      <c r="AL47" s="88"/>
      <c r="AM47" s="88"/>
      <c r="AN47" s="88"/>
      <c r="AO47" s="88"/>
      <c r="AP47" s="88"/>
      <c r="AQ47" s="88"/>
      <c r="AR47" s="88"/>
      <c r="AS47" s="88"/>
      <c r="AT47" s="88"/>
    </row>
    <row r="48" spans="1:46" ht="19.5" customHeight="1">
      <c r="A48" s="108"/>
      <c r="B48" s="152">
        <f t="shared" si="7"/>
        <v>46</v>
      </c>
      <c r="C48" s="356"/>
      <c r="D48" s="357"/>
      <c r="E48" s="358"/>
      <c r="F48" s="153">
        <f t="shared" si="8"/>
        <v>69</v>
      </c>
      <c r="G48" s="154">
        <f t="shared" si="9"/>
        <v>67</v>
      </c>
      <c r="H48" s="154">
        <f t="shared" si="10"/>
        <v>36</v>
      </c>
      <c r="I48" s="154">
        <f t="shared" si="11"/>
        <v>97</v>
      </c>
      <c r="J48" s="155">
        <f t="shared" si="12"/>
      </c>
      <c r="K48" s="94">
        <f>K47</f>
        <v>160</v>
      </c>
      <c r="L48" s="95">
        <f t="shared" si="24"/>
        <v>100</v>
      </c>
      <c r="M48" s="146">
        <f>IF($F$18="いいえ",0,シート７!AF57)</f>
        <v>0</v>
      </c>
      <c r="N48" s="94"/>
      <c r="O48" s="148">
        <f t="shared" si="21"/>
        <v>260</v>
      </c>
      <c r="P48" s="98">
        <f t="shared" si="20"/>
        <v>190</v>
      </c>
      <c r="Q48" s="335">
        <f>+シート２!$F$30+R48</f>
        <v>15.19</v>
      </c>
      <c r="R48" s="336">
        <f>シート２!N47</f>
        <v>15.19</v>
      </c>
      <c r="S48" s="336">
        <f>IF($K$18="いいえ",シート７!X57,シート７!J31)</f>
        <v>0</v>
      </c>
      <c r="T48" s="100">
        <f t="shared" si="17"/>
        <v>24</v>
      </c>
      <c r="U48" s="100">
        <f>U47</f>
        <v>24</v>
      </c>
      <c r="V48" s="100"/>
      <c r="W48" s="333">
        <f t="shared" si="13"/>
        <v>0</v>
      </c>
      <c r="X48" s="334">
        <f t="shared" si="5"/>
        <v>253.19</v>
      </c>
      <c r="Y48" s="238">
        <f t="shared" si="1"/>
        <v>6.810000000000002</v>
      </c>
      <c r="Z48" s="143">
        <f t="shared" si="2"/>
        <v>159.7154900806279</v>
      </c>
      <c r="AA48" s="348">
        <f t="shared" si="22"/>
        <v>0</v>
      </c>
      <c r="AB48" s="349">
        <f>IF(ISERROR(シート５!H273),"0",ROUND(シート５!H273/10000,0))</f>
        <v>0</v>
      </c>
      <c r="AC48" s="352">
        <f ca="1">IF(シート６!$H$1&lt;47,ROUND(INDIRECT("シート６!H"&amp;285-(シート６!$H$1-23)*12)/10000,0),0)</f>
        <v>0</v>
      </c>
      <c r="AD48" s="291"/>
      <c r="AE48" s="258"/>
      <c r="AF48" s="88">
        <f>IF(AB48=0,0,シート５!$E$7)</f>
        <v>0</v>
      </c>
      <c r="AG48" s="88">
        <f>IF(AC48=0,0,シート６!$E$7)</f>
        <v>0</v>
      </c>
      <c r="AH48" s="259">
        <f t="shared" si="6"/>
        <v>0</v>
      </c>
      <c r="AI48" s="88">
        <f t="shared" si="23"/>
        <v>0</v>
      </c>
      <c r="AJ48" s="88"/>
      <c r="AK48" s="88"/>
      <c r="AL48" s="88"/>
      <c r="AM48" s="88"/>
      <c r="AN48" s="88"/>
      <c r="AO48" s="88"/>
      <c r="AP48" s="88"/>
      <c r="AQ48" s="88"/>
      <c r="AR48" s="88"/>
      <c r="AS48" s="88"/>
      <c r="AT48" s="88"/>
    </row>
    <row r="49" spans="1:46" ht="19.5" customHeight="1">
      <c r="A49" s="108"/>
      <c r="B49" s="152">
        <f t="shared" si="7"/>
        <v>47</v>
      </c>
      <c r="C49" s="356"/>
      <c r="D49" s="357"/>
      <c r="E49" s="358"/>
      <c r="F49" s="153">
        <f t="shared" si="8"/>
        <v>70</v>
      </c>
      <c r="G49" s="154">
        <f t="shared" si="9"/>
        <v>68</v>
      </c>
      <c r="H49" s="154">
        <f t="shared" si="10"/>
        <v>37</v>
      </c>
      <c r="I49" s="154">
        <f t="shared" si="11"/>
        <v>98</v>
      </c>
      <c r="J49" s="155">
        <f t="shared" si="12"/>
      </c>
      <c r="K49" s="94">
        <f t="shared" si="24"/>
        <v>160</v>
      </c>
      <c r="L49" s="95">
        <f t="shared" si="24"/>
        <v>100</v>
      </c>
      <c r="M49" s="146">
        <f>IF($F$18="いいえ",0,シート７!AF58)</f>
        <v>0</v>
      </c>
      <c r="N49" s="94"/>
      <c r="O49" s="148">
        <f>SUM(K49:N49)</f>
        <v>260</v>
      </c>
      <c r="P49" s="98">
        <f t="shared" si="20"/>
        <v>190</v>
      </c>
      <c r="Q49" s="335">
        <f>+シート２!$F$30+R49</f>
        <v>15.19</v>
      </c>
      <c r="R49" s="336">
        <f>シート２!N48</f>
        <v>15.19</v>
      </c>
      <c r="S49" s="336">
        <f>IF($K$18="いいえ",シート７!X58,シート７!J32)</f>
        <v>0</v>
      </c>
      <c r="T49" s="100">
        <f t="shared" si="17"/>
        <v>24</v>
      </c>
      <c r="U49" s="100">
        <f>U48</f>
        <v>24</v>
      </c>
      <c r="V49" s="100"/>
      <c r="W49" s="333">
        <f t="shared" si="13"/>
        <v>0</v>
      </c>
      <c r="X49" s="334">
        <f t="shared" si="5"/>
        <v>253.19</v>
      </c>
      <c r="Y49" s="238">
        <f t="shared" si="1"/>
        <v>6.810000000000002</v>
      </c>
      <c r="Z49" s="143">
        <f t="shared" si="2"/>
        <v>166.5254900806279</v>
      </c>
      <c r="AA49" s="348">
        <f t="shared" si="22"/>
        <v>0</v>
      </c>
      <c r="AB49" s="349">
        <f>IF(ISERROR(シート５!H285),"0",ROUND(シート５!H285/10000,0))</f>
        <v>0</v>
      </c>
      <c r="AC49" s="352">
        <f ca="1">IF(シート６!$H$1&lt;48,ROUND(INDIRECT("シート６!H"&amp;297-(シート６!$H$1-23)*12)/10000,0),0)</f>
        <v>0</v>
      </c>
      <c r="AD49" s="291"/>
      <c r="AE49" s="258"/>
      <c r="AF49" s="88">
        <f>IF(AB49=0,0,シート５!$E$7)</f>
        <v>0</v>
      </c>
      <c r="AG49" s="88">
        <f>IF(AC49=0,0,シート６!$E$7)</f>
        <v>0</v>
      </c>
      <c r="AH49" s="259">
        <f t="shared" si="6"/>
        <v>0</v>
      </c>
      <c r="AI49" s="88">
        <f t="shared" si="23"/>
        <v>0</v>
      </c>
      <c r="AJ49" s="88"/>
      <c r="AK49" s="88"/>
      <c r="AL49" s="88"/>
      <c r="AM49" s="88"/>
      <c r="AN49" s="88"/>
      <c r="AO49" s="88"/>
      <c r="AP49" s="88"/>
      <c r="AQ49" s="88"/>
      <c r="AR49" s="88"/>
      <c r="AS49" s="88"/>
      <c r="AT49" s="88"/>
    </row>
    <row r="50" spans="1:46" ht="19.5" customHeight="1" thickBot="1">
      <c r="A50" s="108"/>
      <c r="B50" s="244">
        <f t="shared" si="7"/>
        <v>48</v>
      </c>
      <c r="C50" s="369"/>
      <c r="D50" s="370"/>
      <c r="E50" s="371"/>
      <c r="F50" s="156">
        <f t="shared" si="8"/>
        <v>71</v>
      </c>
      <c r="G50" s="157">
        <f t="shared" si="9"/>
        <v>69</v>
      </c>
      <c r="H50" s="157">
        <f t="shared" si="10"/>
        <v>38</v>
      </c>
      <c r="I50" s="157">
        <f t="shared" si="11"/>
        <v>99</v>
      </c>
      <c r="J50" s="158">
        <f t="shared" si="12"/>
      </c>
      <c r="K50" s="96">
        <f t="shared" si="24"/>
        <v>160</v>
      </c>
      <c r="L50" s="97">
        <f t="shared" si="24"/>
        <v>100</v>
      </c>
      <c r="M50" s="150">
        <f>IF($F$18="いいえ",0,シート７!AF59)</f>
        <v>0</v>
      </c>
      <c r="N50" s="96"/>
      <c r="O50" s="149">
        <f t="shared" si="21"/>
        <v>260</v>
      </c>
      <c r="P50" s="99">
        <f t="shared" si="20"/>
        <v>190</v>
      </c>
      <c r="Q50" s="339">
        <f>+シート２!$F$30+R50</f>
        <v>15.19</v>
      </c>
      <c r="R50" s="340">
        <f>シート２!N49</f>
        <v>15.19</v>
      </c>
      <c r="S50" s="340">
        <f>IF($K$18="いいえ",シート７!X59,シート７!J33)</f>
        <v>0</v>
      </c>
      <c r="T50" s="101">
        <f t="shared" si="17"/>
        <v>24</v>
      </c>
      <c r="U50" s="101">
        <f t="shared" si="16"/>
        <v>24</v>
      </c>
      <c r="V50" s="256"/>
      <c r="W50" s="341">
        <f t="shared" si="13"/>
        <v>0</v>
      </c>
      <c r="X50" s="342">
        <f t="shared" si="5"/>
        <v>253.19</v>
      </c>
      <c r="Y50" s="265">
        <f t="shared" si="1"/>
        <v>6.810000000000002</v>
      </c>
      <c r="Z50" s="144">
        <f t="shared" si="2"/>
        <v>173.3354900806279</v>
      </c>
      <c r="AA50" s="353">
        <f t="shared" si="22"/>
        <v>0</v>
      </c>
      <c r="AB50" s="354">
        <f>IF(ISERROR(シート５!H297),"0",ROUND(シート５!H297/10000,0))</f>
        <v>0</v>
      </c>
      <c r="AC50" s="355">
        <f ca="1">IF(シート６!$H$1&lt;49,ROUND(INDIRECT("シート６!H"&amp;309-(シート６!$H$1-23)*12)/10000,0),0)</f>
        <v>0</v>
      </c>
      <c r="AD50" s="291"/>
      <c r="AE50" s="258"/>
      <c r="AF50" s="88">
        <f>IF(AB50=0,0,シート５!$E$7)</f>
        <v>0</v>
      </c>
      <c r="AG50" s="88">
        <f>IF(AC50=0,0,シート６!$E$7)</f>
        <v>0</v>
      </c>
      <c r="AH50" s="260">
        <f t="shared" si="6"/>
        <v>0</v>
      </c>
      <c r="AI50" s="88">
        <f t="shared" si="23"/>
        <v>0</v>
      </c>
      <c r="AJ50" s="88"/>
      <c r="AK50" s="88"/>
      <c r="AL50" s="88"/>
      <c r="AM50" s="88"/>
      <c r="AN50" s="88"/>
      <c r="AO50" s="88"/>
      <c r="AP50" s="88"/>
      <c r="AQ50" s="88"/>
      <c r="AR50" s="88"/>
      <c r="AS50" s="88"/>
      <c r="AT50" s="88"/>
    </row>
    <row r="51" spans="1:46" ht="14.25" thickBot="1">
      <c r="A51" s="121"/>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343"/>
      <c r="Z51" s="343"/>
      <c r="AA51" s="343"/>
      <c r="AB51" s="293"/>
      <c r="AC51" s="280" t="s">
        <v>294</v>
      </c>
      <c r="AD51" s="292"/>
      <c r="AE51" s="88"/>
      <c r="AF51" s="88"/>
      <c r="AG51" s="88"/>
      <c r="AH51" s="88"/>
      <c r="AI51" s="88"/>
      <c r="AJ51" s="88"/>
      <c r="AK51" s="88"/>
      <c r="AL51" s="88"/>
      <c r="AM51" s="88"/>
      <c r="AN51" s="88"/>
      <c r="AO51" s="88"/>
      <c r="AP51" s="88"/>
      <c r="AQ51" s="88"/>
      <c r="AR51" s="88"/>
      <c r="AS51" s="88"/>
      <c r="AT51" s="88"/>
    </row>
    <row r="52" spans="31:46" ht="13.5">
      <c r="AE52" s="88"/>
      <c r="AF52" s="88"/>
      <c r="AG52" s="88"/>
      <c r="AH52" s="88"/>
      <c r="AI52" s="88"/>
      <c r="AJ52" s="88"/>
      <c r="AK52" s="88"/>
      <c r="AL52" s="88"/>
      <c r="AM52" s="88"/>
      <c r="AN52" s="88"/>
      <c r="AO52" s="88"/>
      <c r="AP52" s="88"/>
      <c r="AQ52" s="88"/>
      <c r="AR52" s="88"/>
      <c r="AS52" s="88"/>
      <c r="AT52" s="88"/>
    </row>
    <row r="53" spans="31:46" ht="13.5">
      <c r="AE53" s="88"/>
      <c r="AF53" s="88"/>
      <c r="AG53" s="88"/>
      <c r="AH53" s="88"/>
      <c r="AI53" s="88"/>
      <c r="AJ53" s="88"/>
      <c r="AK53" s="88"/>
      <c r="AL53" s="88"/>
      <c r="AM53" s="88"/>
      <c r="AN53" s="88"/>
      <c r="AO53" s="88"/>
      <c r="AP53" s="88"/>
      <c r="AQ53" s="88"/>
      <c r="AR53" s="88"/>
      <c r="AS53" s="88"/>
      <c r="AT53" s="88"/>
    </row>
    <row r="54" spans="31:46" ht="13.5">
      <c r="AE54" s="88"/>
      <c r="AF54" s="88"/>
      <c r="AG54" s="88"/>
      <c r="AH54" s="88"/>
      <c r="AI54" s="88"/>
      <c r="AJ54" s="88"/>
      <c r="AK54" s="88"/>
      <c r="AL54" s="88"/>
      <c r="AM54" s="88"/>
      <c r="AN54" s="88"/>
      <c r="AO54" s="88"/>
      <c r="AP54" s="88"/>
      <c r="AQ54" s="88"/>
      <c r="AR54" s="88"/>
      <c r="AS54" s="88"/>
      <c r="AT54" s="88"/>
    </row>
    <row r="55" spans="31:46" ht="13.5">
      <c r="AE55" s="88"/>
      <c r="AF55" s="88"/>
      <c r="AG55" s="88"/>
      <c r="AH55" s="88"/>
      <c r="AI55" s="88"/>
      <c r="AJ55" s="88"/>
      <c r="AK55" s="88"/>
      <c r="AL55" s="88"/>
      <c r="AM55" s="88"/>
      <c r="AN55" s="88"/>
      <c r="AO55" s="88"/>
      <c r="AP55" s="88"/>
      <c r="AQ55" s="88"/>
      <c r="AR55" s="88"/>
      <c r="AS55" s="88"/>
      <c r="AT55" s="88"/>
    </row>
    <row r="56" spans="31:46" ht="13.5">
      <c r="AE56" s="88"/>
      <c r="AF56" s="88"/>
      <c r="AG56" s="88"/>
      <c r="AH56" s="88"/>
      <c r="AI56" s="88"/>
      <c r="AJ56" s="88"/>
      <c r="AK56" s="88"/>
      <c r="AL56" s="88"/>
      <c r="AM56" s="88"/>
      <c r="AN56" s="88"/>
      <c r="AO56" s="88"/>
      <c r="AP56" s="88"/>
      <c r="AQ56" s="88"/>
      <c r="AR56" s="88"/>
      <c r="AS56" s="88"/>
      <c r="AT56" s="88"/>
    </row>
    <row r="57" spans="31:46" ht="13.5">
      <c r="AE57" s="88"/>
      <c r="AF57" s="88"/>
      <c r="AG57" s="88"/>
      <c r="AH57" s="88"/>
      <c r="AI57" s="88"/>
      <c r="AJ57" s="88"/>
      <c r="AK57" s="88"/>
      <c r="AL57" s="88"/>
      <c r="AM57" s="88"/>
      <c r="AN57" s="88"/>
      <c r="AO57" s="88"/>
      <c r="AP57" s="88"/>
      <c r="AQ57" s="88"/>
      <c r="AR57" s="88"/>
      <c r="AS57" s="88"/>
      <c r="AT57" s="88"/>
    </row>
    <row r="58" spans="31:46" ht="13.5">
      <c r="AE58" s="88"/>
      <c r="AF58" s="88"/>
      <c r="AG58" s="88"/>
      <c r="AH58" s="88"/>
      <c r="AI58" s="88"/>
      <c r="AJ58" s="88"/>
      <c r="AK58" s="88"/>
      <c r="AL58" s="88"/>
      <c r="AM58" s="88"/>
      <c r="AN58" s="88"/>
      <c r="AO58" s="88"/>
      <c r="AP58" s="88"/>
      <c r="AQ58" s="88"/>
      <c r="AR58" s="88"/>
      <c r="AS58" s="88"/>
      <c r="AT58" s="88"/>
    </row>
    <row r="59" spans="31:46" ht="13.5">
      <c r="AE59" s="88"/>
      <c r="AF59" s="88"/>
      <c r="AG59" s="88"/>
      <c r="AH59" s="88"/>
      <c r="AI59" s="88"/>
      <c r="AJ59" s="88"/>
      <c r="AK59" s="88"/>
      <c r="AL59" s="88"/>
      <c r="AM59" s="88"/>
      <c r="AN59" s="88"/>
      <c r="AO59" s="88"/>
      <c r="AP59" s="88"/>
      <c r="AQ59" s="88"/>
      <c r="AR59" s="88"/>
      <c r="AS59" s="88"/>
      <c r="AT59" s="88"/>
    </row>
    <row r="60" spans="31:46" ht="13.5">
      <c r="AE60" s="88"/>
      <c r="AF60" s="88"/>
      <c r="AG60" s="88"/>
      <c r="AH60" s="88"/>
      <c r="AI60" s="88"/>
      <c r="AJ60" s="88"/>
      <c r="AK60" s="88"/>
      <c r="AL60" s="88"/>
      <c r="AM60" s="88"/>
      <c r="AN60" s="88"/>
      <c r="AO60" s="88"/>
      <c r="AP60" s="88"/>
      <c r="AQ60" s="88"/>
      <c r="AR60" s="88"/>
      <c r="AS60" s="88"/>
      <c r="AT60" s="88"/>
    </row>
    <row r="61" spans="31:46" ht="13.5">
      <c r="AE61" s="88"/>
      <c r="AF61" s="88"/>
      <c r="AG61" s="88"/>
      <c r="AH61" s="88"/>
      <c r="AI61" s="88"/>
      <c r="AJ61" s="88"/>
      <c r="AK61" s="88"/>
      <c r="AL61" s="88"/>
      <c r="AM61" s="88"/>
      <c r="AN61" s="88"/>
      <c r="AO61" s="88"/>
      <c r="AP61" s="88"/>
      <c r="AQ61" s="88"/>
      <c r="AR61" s="88"/>
      <c r="AS61" s="88"/>
      <c r="AT61" s="88"/>
    </row>
    <row r="62" spans="31:46" ht="13.5">
      <c r="AE62" s="88"/>
      <c r="AF62" s="88"/>
      <c r="AG62" s="88"/>
      <c r="AH62" s="88"/>
      <c r="AI62" s="88"/>
      <c r="AJ62" s="88"/>
      <c r="AK62" s="88"/>
      <c r="AL62" s="88"/>
      <c r="AM62" s="88"/>
      <c r="AN62" s="88"/>
      <c r="AO62" s="88"/>
      <c r="AP62" s="88"/>
      <c r="AQ62" s="88"/>
      <c r="AR62" s="88"/>
      <c r="AS62" s="88"/>
      <c r="AT62" s="88"/>
    </row>
    <row r="63" spans="31:46" ht="13.5">
      <c r="AE63" s="88"/>
      <c r="AF63" s="88"/>
      <c r="AG63" s="88"/>
      <c r="AH63" s="88"/>
      <c r="AI63" s="88"/>
      <c r="AJ63" s="88"/>
      <c r="AK63" s="88"/>
      <c r="AL63" s="88"/>
      <c r="AM63" s="88"/>
      <c r="AN63" s="88"/>
      <c r="AO63" s="88"/>
      <c r="AP63" s="88"/>
      <c r="AQ63" s="88"/>
      <c r="AR63" s="88"/>
      <c r="AS63" s="88"/>
      <c r="AT63" s="88"/>
    </row>
    <row r="64" spans="31:46" ht="13.5">
      <c r="AE64" s="88"/>
      <c r="AF64" s="88"/>
      <c r="AG64" s="88"/>
      <c r="AH64" s="88"/>
      <c r="AI64" s="88"/>
      <c r="AJ64" s="88"/>
      <c r="AK64" s="88"/>
      <c r="AL64" s="88"/>
      <c r="AM64" s="88"/>
      <c r="AN64" s="88"/>
      <c r="AO64" s="88"/>
      <c r="AP64" s="88"/>
      <c r="AQ64" s="88"/>
      <c r="AR64" s="88"/>
      <c r="AS64" s="88"/>
      <c r="AT64" s="88"/>
    </row>
    <row r="65" spans="31:46" ht="13.5">
      <c r="AE65" s="88"/>
      <c r="AF65" s="88"/>
      <c r="AG65" s="88"/>
      <c r="AH65" s="88"/>
      <c r="AI65" s="88"/>
      <c r="AJ65" s="88"/>
      <c r="AK65" s="88"/>
      <c r="AL65" s="88"/>
      <c r="AM65" s="88"/>
      <c r="AN65" s="88"/>
      <c r="AO65" s="88"/>
      <c r="AP65" s="88"/>
      <c r="AQ65" s="88"/>
      <c r="AR65" s="88"/>
      <c r="AS65" s="88"/>
      <c r="AT65" s="88"/>
    </row>
    <row r="66" spans="31:46" ht="13.5">
      <c r="AE66" s="88"/>
      <c r="AF66" s="88"/>
      <c r="AG66" s="88"/>
      <c r="AH66" s="88"/>
      <c r="AI66" s="88"/>
      <c r="AJ66" s="88"/>
      <c r="AK66" s="88"/>
      <c r="AL66" s="88"/>
      <c r="AM66" s="88"/>
      <c r="AN66" s="88"/>
      <c r="AO66" s="88"/>
      <c r="AP66" s="88"/>
      <c r="AQ66" s="88"/>
      <c r="AR66" s="88"/>
      <c r="AS66" s="88"/>
      <c r="AT66" s="88"/>
    </row>
    <row r="67" spans="31:46" ht="13.5">
      <c r="AE67" s="88"/>
      <c r="AF67" s="88"/>
      <c r="AG67" s="88"/>
      <c r="AH67" s="88"/>
      <c r="AI67" s="88"/>
      <c r="AJ67" s="88"/>
      <c r="AK67" s="88"/>
      <c r="AL67" s="88"/>
      <c r="AM67" s="88"/>
      <c r="AN67" s="88"/>
      <c r="AO67" s="88"/>
      <c r="AP67" s="88"/>
      <c r="AQ67" s="88"/>
      <c r="AR67" s="88"/>
      <c r="AS67" s="88"/>
      <c r="AT67" s="88"/>
    </row>
    <row r="68" spans="31:46" ht="13.5">
      <c r="AE68" s="88"/>
      <c r="AF68" s="88"/>
      <c r="AG68" s="88"/>
      <c r="AH68" s="88"/>
      <c r="AI68" s="88"/>
      <c r="AJ68" s="88"/>
      <c r="AK68" s="88"/>
      <c r="AL68" s="88"/>
      <c r="AM68" s="88"/>
      <c r="AN68" s="88"/>
      <c r="AO68" s="88"/>
      <c r="AP68" s="88"/>
      <c r="AQ68" s="88"/>
      <c r="AR68" s="88"/>
      <c r="AS68" s="88"/>
      <c r="AT68" s="88"/>
    </row>
    <row r="69" spans="31:46" ht="13.5">
      <c r="AE69" s="88"/>
      <c r="AF69" s="88"/>
      <c r="AG69" s="88"/>
      <c r="AH69" s="88"/>
      <c r="AI69" s="88"/>
      <c r="AJ69" s="88"/>
      <c r="AK69" s="88"/>
      <c r="AL69" s="88"/>
      <c r="AM69" s="88"/>
      <c r="AN69" s="88"/>
      <c r="AO69" s="88"/>
      <c r="AP69" s="88"/>
      <c r="AQ69" s="88"/>
      <c r="AR69" s="88"/>
      <c r="AS69" s="88"/>
      <c r="AT69" s="88"/>
    </row>
    <row r="70" spans="31:46" ht="13.5">
      <c r="AE70" s="88"/>
      <c r="AF70" s="88"/>
      <c r="AG70" s="88"/>
      <c r="AH70" s="88"/>
      <c r="AI70" s="88"/>
      <c r="AJ70" s="88"/>
      <c r="AK70" s="88"/>
      <c r="AL70" s="88"/>
      <c r="AM70" s="88"/>
      <c r="AN70" s="88"/>
      <c r="AO70" s="88"/>
      <c r="AP70" s="88"/>
      <c r="AQ70" s="88"/>
      <c r="AR70" s="88"/>
      <c r="AS70" s="88"/>
      <c r="AT70" s="88"/>
    </row>
    <row r="71" spans="31:46" ht="13.5">
      <c r="AE71" s="88"/>
      <c r="AF71" s="88"/>
      <c r="AG71" s="88"/>
      <c r="AH71" s="88"/>
      <c r="AI71" s="88"/>
      <c r="AJ71" s="88"/>
      <c r="AK71" s="88"/>
      <c r="AL71" s="88"/>
      <c r="AM71" s="88"/>
      <c r="AN71" s="88"/>
      <c r="AO71" s="88"/>
      <c r="AP71" s="88"/>
      <c r="AQ71" s="88"/>
      <c r="AR71" s="88"/>
      <c r="AS71" s="88"/>
      <c r="AT71" s="88"/>
    </row>
    <row r="72" spans="31:46" ht="13.5">
      <c r="AE72" s="88"/>
      <c r="AF72" s="88"/>
      <c r="AG72" s="88"/>
      <c r="AH72" s="88"/>
      <c r="AI72" s="88"/>
      <c r="AJ72" s="88"/>
      <c r="AK72" s="88"/>
      <c r="AL72" s="88"/>
      <c r="AM72" s="88"/>
      <c r="AN72" s="88"/>
      <c r="AO72" s="88"/>
      <c r="AP72" s="88"/>
      <c r="AQ72" s="88"/>
      <c r="AR72" s="88"/>
      <c r="AS72" s="88"/>
      <c r="AT72" s="88"/>
    </row>
    <row r="73" spans="31:46" ht="13.5">
      <c r="AE73" s="88"/>
      <c r="AF73" s="88"/>
      <c r="AG73" s="88"/>
      <c r="AH73" s="88"/>
      <c r="AI73" s="88"/>
      <c r="AJ73" s="88"/>
      <c r="AK73" s="88"/>
      <c r="AL73" s="88"/>
      <c r="AM73" s="88"/>
      <c r="AN73" s="88"/>
      <c r="AO73" s="88"/>
      <c r="AP73" s="88"/>
      <c r="AQ73" s="88"/>
      <c r="AR73" s="88"/>
      <c r="AS73" s="88"/>
      <c r="AT73" s="88"/>
    </row>
    <row r="74" spans="31:46" ht="13.5">
      <c r="AE74" s="88"/>
      <c r="AF74" s="88"/>
      <c r="AG74" s="88"/>
      <c r="AH74" s="88"/>
      <c r="AI74" s="88"/>
      <c r="AJ74" s="88"/>
      <c r="AK74" s="88"/>
      <c r="AL74" s="88"/>
      <c r="AM74" s="88"/>
      <c r="AN74" s="88"/>
      <c r="AO74" s="88"/>
      <c r="AP74" s="88"/>
      <c r="AQ74" s="88"/>
      <c r="AR74" s="88"/>
      <c r="AS74" s="88"/>
      <c r="AT74" s="88"/>
    </row>
    <row r="75" spans="31:46" ht="13.5">
      <c r="AE75" s="88"/>
      <c r="AF75" s="88"/>
      <c r="AG75" s="88"/>
      <c r="AH75" s="88"/>
      <c r="AI75" s="88"/>
      <c r="AJ75" s="88"/>
      <c r="AK75" s="88"/>
      <c r="AL75" s="88"/>
      <c r="AM75" s="88"/>
      <c r="AN75" s="88"/>
      <c r="AO75" s="88"/>
      <c r="AP75" s="88"/>
      <c r="AQ75" s="88"/>
      <c r="AR75" s="88"/>
      <c r="AS75" s="88"/>
      <c r="AT75" s="88"/>
    </row>
    <row r="76" spans="31:46" ht="13.5">
      <c r="AE76" s="88"/>
      <c r="AF76" s="88"/>
      <c r="AG76" s="88"/>
      <c r="AH76" s="88"/>
      <c r="AI76" s="88"/>
      <c r="AJ76" s="88"/>
      <c r="AK76" s="88"/>
      <c r="AL76" s="88"/>
      <c r="AM76" s="88"/>
      <c r="AN76" s="88"/>
      <c r="AO76" s="88"/>
      <c r="AP76" s="88"/>
      <c r="AQ76" s="88"/>
      <c r="AR76" s="88"/>
      <c r="AS76" s="88"/>
      <c r="AT76" s="88"/>
    </row>
    <row r="77" spans="31:46" ht="13.5">
      <c r="AE77" s="88"/>
      <c r="AF77" s="88"/>
      <c r="AG77" s="88"/>
      <c r="AH77" s="88"/>
      <c r="AI77" s="88"/>
      <c r="AJ77" s="88"/>
      <c r="AK77" s="88"/>
      <c r="AL77" s="88"/>
      <c r="AM77" s="88"/>
      <c r="AN77" s="88"/>
      <c r="AO77" s="88"/>
      <c r="AP77" s="88"/>
      <c r="AQ77" s="88"/>
      <c r="AR77" s="88"/>
      <c r="AS77" s="88"/>
      <c r="AT77" s="88"/>
    </row>
    <row r="78" spans="31:46" ht="13.5">
      <c r="AE78" s="88"/>
      <c r="AF78" s="88"/>
      <c r="AG78" s="88"/>
      <c r="AH78" s="88"/>
      <c r="AI78" s="88"/>
      <c r="AJ78" s="88"/>
      <c r="AK78" s="88"/>
      <c r="AL78" s="88"/>
      <c r="AM78" s="88"/>
      <c r="AN78" s="88"/>
      <c r="AO78" s="88"/>
      <c r="AP78" s="88"/>
      <c r="AQ78" s="88"/>
      <c r="AR78" s="88"/>
      <c r="AS78" s="88"/>
      <c r="AT78" s="88"/>
    </row>
    <row r="79" spans="31:46" ht="13.5">
      <c r="AE79" s="88"/>
      <c r="AF79" s="88"/>
      <c r="AG79" s="88"/>
      <c r="AH79" s="88"/>
      <c r="AI79" s="88"/>
      <c r="AJ79" s="88"/>
      <c r="AK79" s="88"/>
      <c r="AL79" s="88"/>
      <c r="AM79" s="88"/>
      <c r="AN79" s="88"/>
      <c r="AO79" s="88"/>
      <c r="AP79" s="88"/>
      <c r="AQ79" s="88"/>
      <c r="AR79" s="88"/>
      <c r="AS79" s="88"/>
      <c r="AT79" s="88"/>
    </row>
    <row r="80" spans="31:46" ht="13.5">
      <c r="AE80" s="88"/>
      <c r="AF80" s="88"/>
      <c r="AG80" s="88"/>
      <c r="AH80" s="88"/>
      <c r="AI80" s="88"/>
      <c r="AJ80" s="88"/>
      <c r="AK80" s="88"/>
      <c r="AL80" s="88"/>
      <c r="AM80" s="88"/>
      <c r="AN80" s="88"/>
      <c r="AO80" s="88"/>
      <c r="AP80" s="88"/>
      <c r="AQ80" s="88"/>
      <c r="AR80" s="88"/>
      <c r="AS80" s="88"/>
      <c r="AT80" s="88"/>
    </row>
    <row r="81" spans="31:46" ht="13.5">
      <c r="AE81" s="88"/>
      <c r="AF81" s="88"/>
      <c r="AG81" s="88"/>
      <c r="AH81" s="88"/>
      <c r="AI81" s="88"/>
      <c r="AJ81" s="88"/>
      <c r="AK81" s="88"/>
      <c r="AL81" s="88"/>
      <c r="AM81" s="88"/>
      <c r="AN81" s="88"/>
      <c r="AO81" s="88"/>
      <c r="AP81" s="88"/>
      <c r="AQ81" s="88"/>
      <c r="AR81" s="88"/>
      <c r="AS81" s="88"/>
      <c r="AT81" s="88"/>
    </row>
    <row r="82" spans="31:46" ht="13.5">
      <c r="AE82" s="88"/>
      <c r="AF82" s="88"/>
      <c r="AG82" s="88"/>
      <c r="AH82" s="88"/>
      <c r="AI82" s="88"/>
      <c r="AJ82" s="88"/>
      <c r="AK82" s="88"/>
      <c r="AL82" s="88"/>
      <c r="AM82" s="88"/>
      <c r="AN82" s="88"/>
      <c r="AO82" s="88"/>
      <c r="AP82" s="88"/>
      <c r="AQ82" s="88"/>
      <c r="AR82" s="88"/>
      <c r="AS82" s="88"/>
      <c r="AT82" s="88"/>
    </row>
    <row r="83" spans="31:46" ht="13.5">
      <c r="AE83" s="88"/>
      <c r="AF83" s="88"/>
      <c r="AG83" s="88"/>
      <c r="AH83" s="88"/>
      <c r="AI83" s="88"/>
      <c r="AJ83" s="88"/>
      <c r="AK83" s="88"/>
      <c r="AL83" s="88"/>
      <c r="AM83" s="88"/>
      <c r="AN83" s="88"/>
      <c r="AO83" s="88"/>
      <c r="AP83" s="88"/>
      <c r="AQ83" s="88"/>
      <c r="AR83" s="88"/>
      <c r="AS83" s="88"/>
      <c r="AT83" s="88"/>
    </row>
    <row r="84" spans="31:46" ht="13.5">
      <c r="AE84" s="88"/>
      <c r="AF84" s="88"/>
      <c r="AG84" s="88"/>
      <c r="AH84" s="88"/>
      <c r="AI84" s="88"/>
      <c r="AJ84" s="88"/>
      <c r="AK84" s="88"/>
      <c r="AL84" s="88"/>
      <c r="AM84" s="88"/>
      <c r="AN84" s="88"/>
      <c r="AO84" s="88"/>
      <c r="AP84" s="88"/>
      <c r="AQ84" s="88"/>
      <c r="AR84" s="88"/>
      <c r="AS84" s="88"/>
      <c r="AT84" s="88"/>
    </row>
    <row r="85" spans="31:46" ht="13.5">
      <c r="AE85" s="88"/>
      <c r="AF85" s="88"/>
      <c r="AG85" s="88"/>
      <c r="AH85" s="88"/>
      <c r="AI85" s="88"/>
      <c r="AJ85" s="88"/>
      <c r="AK85" s="88"/>
      <c r="AL85" s="88"/>
      <c r="AM85" s="88"/>
      <c r="AN85" s="88"/>
      <c r="AO85" s="88"/>
      <c r="AP85" s="88"/>
      <c r="AQ85" s="88"/>
      <c r="AR85" s="88"/>
      <c r="AS85" s="88"/>
      <c r="AT85" s="88"/>
    </row>
    <row r="86" spans="31:46" ht="13.5">
      <c r="AE86" s="88"/>
      <c r="AF86" s="88"/>
      <c r="AG86" s="88"/>
      <c r="AH86" s="88"/>
      <c r="AI86" s="88"/>
      <c r="AJ86" s="88"/>
      <c r="AK86" s="88"/>
      <c r="AL86" s="88"/>
      <c r="AM86" s="88"/>
      <c r="AN86" s="88"/>
      <c r="AO86" s="88"/>
      <c r="AP86" s="88"/>
      <c r="AQ86" s="88"/>
      <c r="AR86" s="88"/>
      <c r="AS86" s="88"/>
      <c r="AT86" s="88"/>
    </row>
    <row r="87" spans="31:46" ht="13.5">
      <c r="AE87" s="88"/>
      <c r="AF87" s="88"/>
      <c r="AG87" s="88"/>
      <c r="AH87" s="88"/>
      <c r="AI87" s="88"/>
      <c r="AJ87" s="88"/>
      <c r="AK87" s="88"/>
      <c r="AL87" s="88"/>
      <c r="AM87" s="88"/>
      <c r="AN87" s="88"/>
      <c r="AO87" s="88"/>
      <c r="AP87" s="88"/>
      <c r="AQ87" s="88"/>
      <c r="AR87" s="88"/>
      <c r="AS87" s="88"/>
      <c r="AT87" s="88"/>
    </row>
    <row r="88" spans="31:46" ht="13.5">
      <c r="AE88" s="88"/>
      <c r="AF88" s="88"/>
      <c r="AG88" s="88"/>
      <c r="AH88" s="88"/>
      <c r="AI88" s="88"/>
      <c r="AJ88" s="88"/>
      <c r="AK88" s="88"/>
      <c r="AL88" s="88"/>
      <c r="AM88" s="88"/>
      <c r="AN88" s="88"/>
      <c r="AO88" s="88"/>
      <c r="AP88" s="88"/>
      <c r="AQ88" s="88"/>
      <c r="AR88" s="88"/>
      <c r="AS88" s="88"/>
      <c r="AT88" s="88"/>
    </row>
    <row r="89" spans="31:46" ht="13.5">
      <c r="AE89" s="88"/>
      <c r="AF89" s="88"/>
      <c r="AG89" s="88"/>
      <c r="AH89" s="88"/>
      <c r="AI89" s="88"/>
      <c r="AJ89" s="88"/>
      <c r="AK89" s="88"/>
      <c r="AL89" s="88"/>
      <c r="AM89" s="88"/>
      <c r="AN89" s="88"/>
      <c r="AO89" s="88"/>
      <c r="AP89" s="88"/>
      <c r="AQ89" s="88"/>
      <c r="AR89" s="88"/>
      <c r="AS89" s="88"/>
      <c r="AT89" s="88"/>
    </row>
  </sheetData>
  <sheetProtection/>
  <mergeCells count="73">
    <mergeCell ref="AB20:AC20"/>
    <mergeCell ref="S5:AC5"/>
    <mergeCell ref="S6:AC6"/>
    <mergeCell ref="S7:AC7"/>
    <mergeCell ref="S8:AC8"/>
    <mergeCell ref="C9:J9"/>
    <mergeCell ref="C10:J10"/>
    <mergeCell ref="K8:P8"/>
    <mergeCell ref="K7:P7"/>
    <mergeCell ref="K9:P9"/>
    <mergeCell ref="C8:J8"/>
    <mergeCell ref="K10:P10"/>
    <mergeCell ref="K2:K3"/>
    <mergeCell ref="S2:V2"/>
    <mergeCell ref="I5:M6"/>
    <mergeCell ref="C7:J7"/>
    <mergeCell ref="S3:AC3"/>
    <mergeCell ref="S4:AC4"/>
    <mergeCell ref="E5:H6"/>
    <mergeCell ref="S10:W10"/>
    <mergeCell ref="K11:P11"/>
    <mergeCell ref="E16:E17"/>
    <mergeCell ref="C11:J11"/>
    <mergeCell ref="F16:I17"/>
    <mergeCell ref="C14:J14"/>
    <mergeCell ref="C12:J12"/>
    <mergeCell ref="Z21:Z24"/>
    <mergeCell ref="Y24:Y25"/>
    <mergeCell ref="H18:J19"/>
    <mergeCell ref="F21:J24"/>
    <mergeCell ref="K21:Q23"/>
    <mergeCell ref="R21:Y23"/>
    <mergeCell ref="P24:Q24"/>
    <mergeCell ref="R24:X24"/>
    <mergeCell ref="B21:B25"/>
    <mergeCell ref="K12:P12"/>
    <mergeCell ref="C13:J13"/>
    <mergeCell ref="D16:D17"/>
    <mergeCell ref="K24:O24"/>
    <mergeCell ref="C21:E24"/>
    <mergeCell ref="K13:P13"/>
    <mergeCell ref="K14:P14"/>
    <mergeCell ref="K18:K19"/>
    <mergeCell ref="F18:G19"/>
    <mergeCell ref="C50:E50"/>
    <mergeCell ref="C38:E38"/>
    <mergeCell ref="C39:E39"/>
    <mergeCell ref="C40:E40"/>
    <mergeCell ref="C41:E41"/>
    <mergeCell ref="C42:E42"/>
    <mergeCell ref="C49:E49"/>
    <mergeCell ref="C46:E46"/>
    <mergeCell ref="C47:E47"/>
    <mergeCell ref="C48:E48"/>
    <mergeCell ref="D18:E18"/>
    <mergeCell ref="C35:E35"/>
    <mergeCell ref="C33:E33"/>
    <mergeCell ref="C31:E31"/>
    <mergeCell ref="C34:E34"/>
    <mergeCell ref="C32:E32"/>
    <mergeCell ref="C30:E30"/>
    <mergeCell ref="C29:E29"/>
    <mergeCell ref="C27:E27"/>
    <mergeCell ref="C26:E26"/>
    <mergeCell ref="C43:E43"/>
    <mergeCell ref="C28:E28"/>
    <mergeCell ref="D19:E19"/>
    <mergeCell ref="C45:E45"/>
    <mergeCell ref="C44:E44"/>
    <mergeCell ref="C37:E37"/>
    <mergeCell ref="C36:E36"/>
    <mergeCell ref="C25:E25"/>
    <mergeCell ref="B20:E20"/>
  </mergeCells>
  <dataValidations count="5">
    <dataValidation type="list" allowBlank="1" showInputMessage="1" showErrorMessage="1" sqref="M16:O16">
      <formula1>$A$15:$A$22</formula1>
    </dataValidation>
    <dataValidation type="list" allowBlank="1" showInputMessage="1" showErrorMessage="1" sqref="L16">
      <formula1>$A$8:$A$14</formula1>
    </dataValidation>
    <dataValidation type="list" allowBlank="1" showInputMessage="1" showErrorMessage="1" sqref="A6 A11">
      <formula1>$A$5:$A$7</formula1>
    </dataValidation>
    <dataValidation type="list" allowBlank="1" showInputMessage="1" showErrorMessage="1" sqref="K16">
      <formula1>$A$2:$A$7</formula1>
    </dataValidation>
    <dataValidation type="list" allowBlank="1" showInputMessage="1" showErrorMessage="1" sqref="F18 K18">
      <formula1>$A$23:$A$24</formula1>
    </dataValidation>
  </dataValidations>
  <printOptions horizontalCentered="1"/>
  <pageMargins left="0.31496062992125984" right="0.15748031496062992" top="0.5905511811023623" bottom="0.2362204724409449" header="0.15748031496062992" footer="0.1968503937007874"/>
  <pageSetup horizontalDpi="600" verticalDpi="600" orientation="landscape" paperSize="8" scale="96" r:id="rId2"/>
  <headerFooter>
    <oddHeader>&amp;C&amp;"-,太字"&amp;22「我が家の復興計画」&amp;R※このシートは、相談時にお聞きした情報をもとに作成しており、表示した数値等は、
将来にわたる効果を確定するものではありません。参考資料としてご活用ください。
</oddHeader>
  </headerFooter>
  <drawing r:id="rId1"/>
</worksheet>
</file>

<file path=xl/worksheets/sheet2.xml><?xml version="1.0" encoding="utf-8"?>
<worksheet xmlns="http://schemas.openxmlformats.org/spreadsheetml/2006/main" xmlns:r="http://schemas.openxmlformats.org/officeDocument/2006/relationships">
  <dimension ref="A1:T49"/>
  <sheetViews>
    <sheetView zoomScalePageLayoutView="0" workbookViewId="0" topLeftCell="A6">
      <selection activeCell="F30" sqref="F30"/>
    </sheetView>
  </sheetViews>
  <sheetFormatPr defaultColWidth="9.140625" defaultRowHeight="15"/>
  <cols>
    <col min="1" max="1" width="2.8515625" style="33" customWidth="1"/>
    <col min="2" max="2" width="17.421875" style="33" customWidth="1"/>
    <col min="3" max="4" width="14.421875" style="33" customWidth="1"/>
    <col min="5" max="5" width="18.421875" style="33" customWidth="1"/>
    <col min="6" max="6" width="12.140625" style="33" bestFit="1" customWidth="1"/>
    <col min="7" max="7" width="3.421875" style="89" hidden="1" customWidth="1"/>
    <col min="8" max="8" width="6.140625" style="89" hidden="1" customWidth="1"/>
    <col min="9" max="9" width="9.421875" style="89" hidden="1" customWidth="1"/>
    <col min="10" max="10" width="9.140625" style="89" hidden="1" customWidth="1"/>
    <col min="11" max="11" width="9.00390625" style="89" hidden="1" customWidth="1"/>
    <col min="12" max="12" width="15.140625" style="89" hidden="1" customWidth="1"/>
    <col min="13" max="13" width="17.28125" style="89" hidden="1" customWidth="1"/>
    <col min="14" max="14" width="6.00390625" style="89" hidden="1" customWidth="1"/>
    <col min="15" max="16" width="9.00390625" style="89" hidden="1" customWidth="1"/>
    <col min="17" max="17" width="8.57421875" style="89" hidden="1" customWidth="1"/>
    <col min="18" max="18" width="16.421875" style="89" hidden="1" customWidth="1"/>
    <col min="19" max="19" width="6.421875" style="33" hidden="1" customWidth="1"/>
    <col min="20" max="20" width="4.421875" style="33" hidden="1" customWidth="1"/>
    <col min="21" max="41" width="9.00390625" style="162" customWidth="1"/>
    <col min="42" max="16384" width="9.00390625" style="89" customWidth="1"/>
  </cols>
  <sheetData>
    <row r="1" spans="1:13" ht="13.5">
      <c r="A1" s="249" t="s">
        <v>204</v>
      </c>
      <c r="B1" s="159"/>
      <c r="C1" s="159"/>
      <c r="D1" s="159"/>
      <c r="E1" s="159"/>
      <c r="F1" s="160"/>
      <c r="J1" s="161"/>
      <c r="K1" s="161"/>
      <c r="L1" s="161"/>
      <c r="M1" s="161"/>
    </row>
    <row r="2" spans="1:13" ht="13.5">
      <c r="A2" s="163"/>
      <c r="B2" s="164"/>
      <c r="C2" s="164"/>
      <c r="D2" s="164"/>
      <c r="E2" s="459"/>
      <c r="F2" s="460"/>
      <c r="J2" s="90"/>
      <c r="K2" s="90"/>
      <c r="L2" s="90"/>
      <c r="M2" s="90"/>
    </row>
    <row r="3" spans="1:13" ht="14.25" customHeight="1">
      <c r="A3" s="163"/>
      <c r="B3" s="165"/>
      <c r="C3" s="457"/>
      <c r="D3" s="164"/>
      <c r="E3" s="459"/>
      <c r="F3" s="460"/>
      <c r="J3" s="90"/>
      <c r="K3" s="166"/>
      <c r="L3" s="90"/>
      <c r="M3" s="90"/>
    </row>
    <row r="4" spans="1:13" ht="13.5" customHeight="1">
      <c r="A4" s="163"/>
      <c r="B4" s="164"/>
      <c r="C4" s="458"/>
      <c r="D4" s="164" t="s">
        <v>201</v>
      </c>
      <c r="E4" s="164"/>
      <c r="F4" s="167"/>
      <c r="J4" s="90"/>
      <c r="K4" s="166"/>
      <c r="L4" s="90"/>
      <c r="M4" s="90"/>
    </row>
    <row r="5" spans="1:13" ht="13.5">
      <c r="A5" s="168"/>
      <c r="B5" s="169" t="s">
        <v>205</v>
      </c>
      <c r="C5" s="90"/>
      <c r="D5" s="90"/>
      <c r="E5" s="90"/>
      <c r="F5" s="170" t="s">
        <v>20</v>
      </c>
      <c r="J5" s="90"/>
      <c r="K5" s="90"/>
      <c r="L5" s="90"/>
      <c r="M5" s="90"/>
    </row>
    <row r="6" spans="1:13" ht="13.5">
      <c r="A6" s="168"/>
      <c r="B6" s="169" t="s">
        <v>206</v>
      </c>
      <c r="C6" s="90"/>
      <c r="D6" s="90"/>
      <c r="E6" s="90"/>
      <c r="F6" s="170"/>
      <c r="J6" s="90"/>
      <c r="K6" s="90"/>
      <c r="L6" s="90"/>
      <c r="M6" s="90"/>
    </row>
    <row r="7" spans="1:13" ht="27">
      <c r="A7" s="163"/>
      <c r="B7" s="198"/>
      <c r="C7" s="199" t="s">
        <v>0</v>
      </c>
      <c r="D7" s="200" t="s">
        <v>1</v>
      </c>
      <c r="E7" s="200" t="s">
        <v>2</v>
      </c>
      <c r="F7" s="201" t="s">
        <v>24</v>
      </c>
      <c r="J7" s="90"/>
      <c r="K7" s="90"/>
      <c r="L7" s="90"/>
      <c r="M7" s="90"/>
    </row>
    <row r="8" spans="1:13" ht="13.5">
      <c r="A8" s="163"/>
      <c r="B8" s="198" t="s">
        <v>202</v>
      </c>
      <c r="C8" s="203">
        <v>250</v>
      </c>
      <c r="D8" s="203">
        <v>10</v>
      </c>
      <c r="E8" s="203">
        <v>10</v>
      </c>
      <c r="F8" s="239">
        <f>SUM(C8-D8-E8)</f>
        <v>230</v>
      </c>
      <c r="J8" s="90"/>
      <c r="K8" s="90"/>
      <c r="L8" s="171"/>
      <c r="M8" s="172"/>
    </row>
    <row r="9" spans="1:13" ht="13.5" customHeight="1">
      <c r="A9" s="163"/>
      <c r="B9" s="198" t="s">
        <v>203</v>
      </c>
      <c r="C9" s="203">
        <v>100</v>
      </c>
      <c r="D9" s="203"/>
      <c r="E9" s="203"/>
      <c r="F9" s="239">
        <f>SUM(C9-D9-E9)</f>
        <v>100</v>
      </c>
      <c r="J9" s="173"/>
      <c r="K9" s="174"/>
      <c r="L9" s="175"/>
      <c r="M9" s="175"/>
    </row>
    <row r="10" spans="1:13" ht="14.25" thickBot="1">
      <c r="A10" s="163"/>
      <c r="B10" s="198" t="s">
        <v>179</v>
      </c>
      <c r="C10" s="203"/>
      <c r="D10" s="203"/>
      <c r="E10" s="203"/>
      <c r="F10" s="239">
        <f>SUM(C10-D10-E10)</f>
        <v>0</v>
      </c>
      <c r="J10" s="173"/>
      <c r="K10" s="174"/>
      <c r="L10" s="175"/>
      <c r="M10" s="175"/>
    </row>
    <row r="11" spans="1:13" ht="14.25" thickBot="1">
      <c r="A11" s="163"/>
      <c r="B11" s="219"/>
      <c r="C11" s="220"/>
      <c r="D11" s="220"/>
      <c r="E11" s="221" t="s">
        <v>3</v>
      </c>
      <c r="F11" s="222">
        <f>SUM(F8:F10)</f>
        <v>330</v>
      </c>
      <c r="J11" s="173"/>
      <c r="K11" s="174"/>
      <c r="L11" s="175"/>
      <c r="M11" s="175"/>
    </row>
    <row r="12" spans="1:13" ht="13.5">
      <c r="A12" s="168"/>
      <c r="B12" s="90"/>
      <c r="C12" s="90"/>
      <c r="D12" s="90"/>
      <c r="E12" s="90"/>
      <c r="F12" s="176"/>
      <c r="J12" s="173"/>
      <c r="K12" s="174"/>
      <c r="L12" s="175"/>
      <c r="M12" s="175"/>
    </row>
    <row r="13" spans="1:13" ht="13.5">
      <c r="A13" s="163"/>
      <c r="B13" s="169" t="s">
        <v>213</v>
      </c>
      <c r="C13" s="90"/>
      <c r="D13" s="90"/>
      <c r="E13" s="90"/>
      <c r="F13" s="170" t="s">
        <v>20</v>
      </c>
      <c r="J13" s="90"/>
      <c r="K13" s="90"/>
      <c r="L13" s="177"/>
      <c r="M13" s="178"/>
    </row>
    <row r="14" spans="1:20" ht="14.25" customHeight="1">
      <c r="A14" s="163"/>
      <c r="B14" s="199" t="s">
        <v>4</v>
      </c>
      <c r="C14" s="199" t="s">
        <v>5</v>
      </c>
      <c r="D14" s="199" t="s">
        <v>6</v>
      </c>
      <c r="E14" s="199" t="s">
        <v>7</v>
      </c>
      <c r="F14" s="202" t="s">
        <v>8</v>
      </c>
      <c r="J14" s="90"/>
      <c r="K14" s="90"/>
      <c r="L14" s="90"/>
      <c r="M14" s="178"/>
      <c r="O14" s="179" t="s">
        <v>192</v>
      </c>
      <c r="P14" s="179" t="s">
        <v>182</v>
      </c>
      <c r="Q14" s="179"/>
      <c r="R14" s="179"/>
      <c r="S14" s="180"/>
      <c r="T14" s="180"/>
    </row>
    <row r="15" spans="1:20" ht="13.5">
      <c r="A15" s="163"/>
      <c r="B15" s="446" t="s">
        <v>25</v>
      </c>
      <c r="C15" s="204" t="s">
        <v>9</v>
      </c>
      <c r="D15" s="203">
        <v>12</v>
      </c>
      <c r="E15" s="203"/>
      <c r="F15" s="239">
        <f aca="true" t="shared" si="0" ref="F15:F23">SUM(D15*12+E15)</f>
        <v>144</v>
      </c>
      <c r="J15" s="90"/>
      <c r="K15" s="90"/>
      <c r="L15" s="90"/>
      <c r="M15" s="90"/>
      <c r="O15" s="179">
        <v>1</v>
      </c>
      <c r="P15" s="179"/>
      <c r="Q15" s="179"/>
      <c r="R15" s="179"/>
      <c r="S15" s="181"/>
      <c r="T15" s="181"/>
    </row>
    <row r="16" spans="1:20" ht="13.5">
      <c r="A16" s="163"/>
      <c r="B16" s="447"/>
      <c r="C16" s="204" t="s">
        <v>10</v>
      </c>
      <c r="D16" s="203">
        <v>2</v>
      </c>
      <c r="E16" s="203"/>
      <c r="F16" s="239">
        <f t="shared" si="0"/>
        <v>24</v>
      </c>
      <c r="O16" s="179">
        <v>2</v>
      </c>
      <c r="P16" s="179" t="s">
        <v>187</v>
      </c>
      <c r="Q16" s="179" t="s">
        <v>188</v>
      </c>
      <c r="R16" s="179" t="s">
        <v>193</v>
      </c>
      <c r="S16" s="181"/>
      <c r="T16" s="181"/>
    </row>
    <row r="17" spans="1:20" ht="13.5">
      <c r="A17" s="163"/>
      <c r="B17" s="447"/>
      <c r="C17" s="204" t="s">
        <v>22</v>
      </c>
      <c r="D17" s="203">
        <v>2</v>
      </c>
      <c r="E17" s="203"/>
      <c r="F17" s="239">
        <f t="shared" si="0"/>
        <v>24</v>
      </c>
      <c r="L17" s="89">
        <f>D27*0.7*0.014/6</f>
        <v>2.45</v>
      </c>
      <c r="O17" s="179">
        <v>3</v>
      </c>
      <c r="P17" s="179" t="s">
        <v>187</v>
      </c>
      <c r="Q17" s="179" t="s">
        <v>188</v>
      </c>
      <c r="R17" s="179" t="s">
        <v>193</v>
      </c>
      <c r="S17" s="181"/>
      <c r="T17" s="181"/>
    </row>
    <row r="18" spans="1:20" ht="13.5">
      <c r="A18" s="163"/>
      <c r="B18" s="447"/>
      <c r="C18" s="204" t="s">
        <v>11</v>
      </c>
      <c r="D18" s="203">
        <v>2</v>
      </c>
      <c r="E18" s="203"/>
      <c r="F18" s="239">
        <f t="shared" si="0"/>
        <v>24</v>
      </c>
      <c r="L18" s="89">
        <f>D28*0.014*0.7*0.5</f>
        <v>1.47</v>
      </c>
      <c r="O18" s="179">
        <v>4</v>
      </c>
      <c r="P18" s="179" t="s">
        <v>187</v>
      </c>
      <c r="Q18" s="179" t="s">
        <v>188</v>
      </c>
      <c r="R18" s="179" t="s">
        <v>193</v>
      </c>
      <c r="S18" s="181"/>
      <c r="T18" s="181"/>
    </row>
    <row r="19" spans="1:20" ht="13.5">
      <c r="A19" s="163"/>
      <c r="B19" s="447"/>
      <c r="C19" s="204" t="s">
        <v>12</v>
      </c>
      <c r="D19" s="203">
        <v>2</v>
      </c>
      <c r="E19" s="203"/>
      <c r="F19" s="239">
        <f t="shared" si="0"/>
        <v>24</v>
      </c>
      <c r="J19" s="90"/>
      <c r="K19" s="90"/>
      <c r="L19" s="90"/>
      <c r="M19" s="90"/>
      <c r="N19" s="90"/>
      <c r="O19" s="179">
        <v>5</v>
      </c>
      <c r="P19" s="179" t="s">
        <v>187</v>
      </c>
      <c r="Q19" s="179" t="s">
        <v>188</v>
      </c>
      <c r="R19" s="179" t="s">
        <v>193</v>
      </c>
      <c r="S19" s="181"/>
      <c r="T19" s="181"/>
    </row>
    <row r="20" spans="1:20" ht="13.5">
      <c r="A20" s="163"/>
      <c r="B20" s="447"/>
      <c r="C20" s="204"/>
      <c r="D20" s="203"/>
      <c r="E20" s="203">
        <v>10</v>
      </c>
      <c r="F20" s="239">
        <f t="shared" si="0"/>
        <v>10</v>
      </c>
      <c r="J20" s="182"/>
      <c r="K20" s="183"/>
      <c r="L20" s="183"/>
      <c r="M20" s="183"/>
      <c r="N20" s="90"/>
      <c r="O20" s="179">
        <v>6</v>
      </c>
      <c r="P20" s="179" t="s">
        <v>187</v>
      </c>
      <c r="Q20" s="179" t="s">
        <v>188</v>
      </c>
      <c r="R20" s="179" t="s">
        <v>193</v>
      </c>
      <c r="S20" s="181"/>
      <c r="T20" s="181"/>
    </row>
    <row r="21" spans="1:20" ht="13.5">
      <c r="A21" s="163"/>
      <c r="B21" s="447"/>
      <c r="C21" s="204"/>
      <c r="D21" s="203"/>
      <c r="E21" s="203"/>
      <c r="F21" s="239">
        <f t="shared" si="0"/>
        <v>0</v>
      </c>
      <c r="J21" s="184"/>
      <c r="K21" s="185"/>
      <c r="L21" s="456"/>
      <c r="M21" s="455"/>
      <c r="N21" s="90"/>
      <c r="O21" s="179">
        <v>7</v>
      </c>
      <c r="P21" s="179" t="s">
        <v>187</v>
      </c>
      <c r="Q21" s="179" t="s">
        <v>188</v>
      </c>
      <c r="R21" s="179" t="s">
        <v>193</v>
      </c>
      <c r="S21" s="181"/>
      <c r="T21" s="181"/>
    </row>
    <row r="22" spans="1:20" ht="13.5">
      <c r="A22" s="163"/>
      <c r="B22" s="447"/>
      <c r="C22" s="204"/>
      <c r="D22" s="203"/>
      <c r="E22" s="203"/>
      <c r="F22" s="239">
        <f t="shared" si="0"/>
        <v>0</v>
      </c>
      <c r="J22" s="184"/>
      <c r="K22" s="185"/>
      <c r="L22" s="456"/>
      <c r="M22" s="455"/>
      <c r="N22" s="90"/>
      <c r="O22" s="179">
        <v>8</v>
      </c>
      <c r="P22" s="179" t="s">
        <v>187</v>
      </c>
      <c r="Q22" s="179" t="s">
        <v>188</v>
      </c>
      <c r="R22" s="179" t="s">
        <v>193</v>
      </c>
      <c r="S22" s="181"/>
      <c r="T22" s="181"/>
    </row>
    <row r="23" spans="1:20" ht="14.25" thickBot="1">
      <c r="A23" s="163"/>
      <c r="B23" s="447"/>
      <c r="C23" s="204"/>
      <c r="D23" s="203"/>
      <c r="E23" s="205"/>
      <c r="F23" s="240">
        <f t="shared" si="0"/>
        <v>0</v>
      </c>
      <c r="J23" s="90" t="s">
        <v>183</v>
      </c>
      <c r="K23" s="185"/>
      <c r="L23" s="456"/>
      <c r="M23" s="455"/>
      <c r="N23" s="90"/>
      <c r="O23" s="179">
        <v>9</v>
      </c>
      <c r="P23" s="179" t="s">
        <v>187</v>
      </c>
      <c r="Q23" s="179" t="s">
        <v>188</v>
      </c>
      <c r="R23" s="179" t="s">
        <v>193</v>
      </c>
      <c r="S23" s="181"/>
      <c r="T23" s="181"/>
    </row>
    <row r="24" spans="1:20" ht="14.25" thickBot="1">
      <c r="A24" s="168"/>
      <c r="B24" s="223"/>
      <c r="C24" s="220"/>
      <c r="D24" s="220"/>
      <c r="E24" s="221" t="s">
        <v>13</v>
      </c>
      <c r="F24" s="222">
        <f>SUM(F15:F23)</f>
        <v>250</v>
      </c>
      <c r="J24" s="186" t="s">
        <v>186</v>
      </c>
      <c r="K24" s="90" t="s">
        <v>185</v>
      </c>
      <c r="L24" s="89" t="s">
        <v>184</v>
      </c>
      <c r="M24" s="90" t="s">
        <v>198</v>
      </c>
      <c r="N24" s="90"/>
      <c r="O24" s="179">
        <v>10</v>
      </c>
      <c r="P24" s="179" t="s">
        <v>187</v>
      </c>
      <c r="Q24" s="179" t="s">
        <v>188</v>
      </c>
      <c r="R24" s="179" t="s">
        <v>193</v>
      </c>
      <c r="S24" s="181"/>
      <c r="T24" s="181"/>
    </row>
    <row r="25" spans="1:18" ht="13.5">
      <c r="A25" s="168"/>
      <c r="B25" s="446" t="s">
        <v>27</v>
      </c>
      <c r="C25" s="206"/>
      <c r="D25" s="206"/>
      <c r="E25" s="207"/>
      <c r="F25" s="241">
        <f>SUM(D25*12+E25)</f>
        <v>0</v>
      </c>
      <c r="I25" s="187">
        <v>41273</v>
      </c>
      <c r="J25" s="188">
        <f>DATE($H$30,$G$29,$H$29)</f>
        <v>42369</v>
      </c>
      <c r="K25" s="89">
        <f>IF($J$25&gt;I25,0,1)</f>
        <v>0</v>
      </c>
      <c r="L25" s="89">
        <v>0</v>
      </c>
      <c r="N25" s="189">
        <f aca="true" t="shared" si="1" ref="N25:N48">VLOOKUP(K25,$L$25:$M$48,2,1)</f>
        <v>0</v>
      </c>
      <c r="O25" s="179"/>
      <c r="P25" s="179"/>
      <c r="Q25" s="179" t="s">
        <v>190</v>
      </c>
      <c r="R25" s="190" t="s">
        <v>194</v>
      </c>
    </row>
    <row r="26" spans="1:19" ht="14.25" thickBot="1">
      <c r="A26" s="168"/>
      <c r="B26" s="461"/>
      <c r="C26" s="208" t="s">
        <v>28</v>
      </c>
      <c r="D26" s="208"/>
      <c r="E26" s="209"/>
      <c r="F26" s="242">
        <f>SUM(D26*12+E26)</f>
        <v>0</v>
      </c>
      <c r="I26" s="187">
        <f>I25+365</f>
        <v>41638</v>
      </c>
      <c r="J26" s="188"/>
      <c r="K26" s="89">
        <f aca="true" t="shared" si="2" ref="K26:K49">IF($J$25&gt;I26,0,K25+1)</f>
        <v>0</v>
      </c>
      <c r="L26" s="89">
        <v>1</v>
      </c>
      <c r="M26" s="189">
        <f>(($D$27*0.7*0.5)+($D$28*0.7/6))*0.014/2</f>
        <v>3.92</v>
      </c>
      <c r="N26" s="189">
        <f t="shared" si="1"/>
        <v>0</v>
      </c>
      <c r="O26" s="191" t="s">
        <v>192</v>
      </c>
      <c r="P26" s="179" t="s">
        <v>191</v>
      </c>
      <c r="Q26" s="191"/>
      <c r="R26" s="191"/>
      <c r="S26" s="180"/>
    </row>
    <row r="27" spans="1:19" ht="13.5" customHeight="1" thickTop="1">
      <c r="A27" s="168"/>
      <c r="B27" s="448" t="s">
        <v>195</v>
      </c>
      <c r="C27" s="224" t="s">
        <v>181</v>
      </c>
      <c r="D27" s="210">
        <v>1500</v>
      </c>
      <c r="E27" s="448" t="s">
        <v>183</v>
      </c>
      <c r="F27" s="451">
        <v>27</v>
      </c>
      <c r="I27" s="187">
        <f aca="true" t="shared" si="3" ref="I27:I49">I26+365</f>
        <v>42003</v>
      </c>
      <c r="J27" s="188"/>
      <c r="K27" s="89">
        <f t="shared" si="2"/>
        <v>0</v>
      </c>
      <c r="L27" s="89">
        <v>2</v>
      </c>
      <c r="M27" s="189">
        <f>(($D$27*0.7*0.5)+($D$28*0.7/6))*0.014/2</f>
        <v>3.92</v>
      </c>
      <c r="N27" s="189">
        <f t="shared" si="1"/>
        <v>0</v>
      </c>
      <c r="O27" s="191">
        <v>1</v>
      </c>
      <c r="P27" s="191"/>
      <c r="Q27" s="191"/>
      <c r="R27" s="191"/>
      <c r="S27" s="180"/>
    </row>
    <row r="28" spans="1:19" ht="13.5">
      <c r="A28" s="168"/>
      <c r="B28" s="449"/>
      <c r="C28" s="225" t="s">
        <v>182</v>
      </c>
      <c r="D28" s="211">
        <v>300</v>
      </c>
      <c r="E28" s="449"/>
      <c r="F28" s="452"/>
      <c r="I28" s="187">
        <f t="shared" si="3"/>
        <v>42368</v>
      </c>
      <c r="J28" s="188"/>
      <c r="K28" s="89">
        <f t="shared" si="2"/>
        <v>0</v>
      </c>
      <c r="L28" s="89">
        <v>3</v>
      </c>
      <c r="M28" s="189">
        <f>(($D$27*0.7*0.5)+($D$28*0.7/6))*0.014/2</f>
        <v>3.92</v>
      </c>
      <c r="N28" s="189">
        <f t="shared" si="1"/>
        <v>0</v>
      </c>
      <c r="O28" s="191">
        <v>2</v>
      </c>
      <c r="P28" s="179" t="s">
        <v>187</v>
      </c>
      <c r="Q28" s="179" t="s">
        <v>188</v>
      </c>
      <c r="R28" s="179" t="s">
        <v>189</v>
      </c>
      <c r="S28" s="181"/>
    </row>
    <row r="29" spans="1:19" ht="13.5">
      <c r="A29" s="168"/>
      <c r="B29" s="450"/>
      <c r="C29" s="225" t="s">
        <v>197</v>
      </c>
      <c r="D29" s="227">
        <f>D27+D28</f>
        <v>1800</v>
      </c>
      <c r="E29" s="450"/>
      <c r="F29" s="453"/>
      <c r="G29" s="89">
        <v>12</v>
      </c>
      <c r="H29" s="89">
        <v>31</v>
      </c>
      <c r="I29" s="187">
        <f>I28+366</f>
        <v>42734</v>
      </c>
      <c r="J29" s="188"/>
      <c r="K29" s="89">
        <f t="shared" si="2"/>
        <v>1</v>
      </c>
      <c r="L29" s="89">
        <v>4</v>
      </c>
      <c r="M29" s="189">
        <f>(($D$27*0.7)+($D$28*0.7/6))*0.014/2</f>
        <v>7.595</v>
      </c>
      <c r="N29" s="189">
        <f t="shared" si="1"/>
        <v>3.92</v>
      </c>
      <c r="O29" s="191">
        <v>3</v>
      </c>
      <c r="P29" s="179" t="s">
        <v>187</v>
      </c>
      <c r="Q29" s="179" t="s">
        <v>188</v>
      </c>
      <c r="R29" s="179" t="s">
        <v>189</v>
      </c>
      <c r="S29" s="181"/>
    </row>
    <row r="30" spans="1:19" ht="13.5" customHeight="1" thickBot="1">
      <c r="A30" s="168"/>
      <c r="B30" s="132"/>
      <c r="C30" s="226"/>
      <c r="D30" s="226"/>
      <c r="E30" s="228" t="s">
        <v>13</v>
      </c>
      <c r="F30" s="229">
        <f>(F25+F26)</f>
        <v>0</v>
      </c>
      <c r="H30" s="189">
        <f>F27+1988</f>
        <v>2015</v>
      </c>
      <c r="I30" s="187">
        <f t="shared" si="3"/>
        <v>43099</v>
      </c>
      <c r="J30" s="188"/>
      <c r="K30" s="89">
        <f t="shared" si="2"/>
        <v>2</v>
      </c>
      <c r="L30" s="89">
        <v>5</v>
      </c>
      <c r="M30" s="189">
        <f>(($D$27*0.7)+($D$28*0.7/6))*0.014*2/3</f>
        <v>10.126666666666667</v>
      </c>
      <c r="N30" s="189">
        <f t="shared" si="1"/>
        <v>3.92</v>
      </c>
      <c r="O30" s="191">
        <v>4</v>
      </c>
      <c r="P30" s="179" t="s">
        <v>187</v>
      </c>
      <c r="Q30" s="179" t="s">
        <v>188</v>
      </c>
      <c r="R30" s="179" t="s">
        <v>189</v>
      </c>
      <c r="S30" s="181"/>
    </row>
    <row r="31" spans="1:19" ht="13.5">
      <c r="A31" s="168"/>
      <c r="B31" s="446" t="s">
        <v>29</v>
      </c>
      <c r="C31" s="204" t="s">
        <v>23</v>
      </c>
      <c r="D31" s="204">
        <v>1</v>
      </c>
      <c r="E31" s="212"/>
      <c r="F31" s="243">
        <f>SUM(D31*12+E31)</f>
        <v>12</v>
      </c>
      <c r="I31" s="187">
        <f t="shared" si="3"/>
        <v>43464</v>
      </c>
      <c r="J31" s="188"/>
      <c r="K31" s="89">
        <f t="shared" si="2"/>
        <v>3</v>
      </c>
      <c r="L31" s="89">
        <v>6</v>
      </c>
      <c r="M31" s="189">
        <f>(($D$27*0.7)+($D$28*0.7/6))*0.014*2/3</f>
        <v>10.126666666666667</v>
      </c>
      <c r="N31" s="189">
        <f t="shared" si="1"/>
        <v>3.92</v>
      </c>
      <c r="O31" s="191">
        <v>5</v>
      </c>
      <c r="P31" s="179" t="s">
        <v>187</v>
      </c>
      <c r="Q31" s="179" t="s">
        <v>188</v>
      </c>
      <c r="R31" s="179"/>
      <c r="S31" s="181"/>
    </row>
    <row r="32" spans="1:19" ht="13.5">
      <c r="A32" s="168"/>
      <c r="B32" s="447"/>
      <c r="C32" s="204" t="s">
        <v>15</v>
      </c>
      <c r="D32" s="204">
        <v>1</v>
      </c>
      <c r="E32" s="213"/>
      <c r="F32" s="239">
        <f>SUM(D32*12+E32)</f>
        <v>12</v>
      </c>
      <c r="I32" s="187">
        <f t="shared" si="3"/>
        <v>43829</v>
      </c>
      <c r="J32" s="188"/>
      <c r="K32" s="89">
        <f t="shared" si="2"/>
        <v>4</v>
      </c>
      <c r="L32" s="89">
        <v>7</v>
      </c>
      <c r="M32" s="189">
        <f>(($D$27*0.7)+($D$28*0.7/6))*0.014</f>
        <v>15.19</v>
      </c>
      <c r="N32" s="189">
        <f t="shared" si="1"/>
        <v>7.595</v>
      </c>
      <c r="O32" s="191">
        <v>6</v>
      </c>
      <c r="P32" s="179" t="s">
        <v>187</v>
      </c>
      <c r="Q32" s="179" t="s">
        <v>188</v>
      </c>
      <c r="R32" s="179"/>
      <c r="S32" s="181"/>
    </row>
    <row r="33" spans="1:19" ht="14.25" thickBot="1">
      <c r="A33" s="168"/>
      <c r="B33" s="447"/>
      <c r="C33" s="204"/>
      <c r="D33" s="203"/>
      <c r="E33" s="205"/>
      <c r="F33" s="240">
        <f>SUM(D33*12+E33)</f>
        <v>0</v>
      </c>
      <c r="I33" s="187">
        <f>I32+365+1</f>
        <v>44195</v>
      </c>
      <c r="J33" s="188"/>
      <c r="K33" s="89">
        <f t="shared" si="2"/>
        <v>5</v>
      </c>
      <c r="L33" s="89">
        <v>8</v>
      </c>
      <c r="M33" s="189">
        <f aca="true" t="shared" si="4" ref="M33:M47">(($D$27*0.7)+($D$28*0.7/6))*0.014</f>
        <v>15.19</v>
      </c>
      <c r="N33" s="189">
        <f t="shared" si="1"/>
        <v>10.126666666666667</v>
      </c>
      <c r="O33" s="191">
        <v>7</v>
      </c>
      <c r="P33" s="179" t="s">
        <v>187</v>
      </c>
      <c r="Q33" s="179" t="s">
        <v>188</v>
      </c>
      <c r="R33" s="179"/>
      <c r="S33" s="181"/>
    </row>
    <row r="34" spans="1:19" ht="14.25" thickBot="1">
      <c r="A34" s="218"/>
      <c r="B34" s="230"/>
      <c r="C34" s="454"/>
      <c r="D34" s="454"/>
      <c r="E34" s="221" t="s">
        <v>13</v>
      </c>
      <c r="F34" s="222">
        <f>SUM(F31:F33)</f>
        <v>24</v>
      </c>
      <c r="I34" s="187">
        <f t="shared" si="3"/>
        <v>44560</v>
      </c>
      <c r="J34" s="188"/>
      <c r="K34" s="89">
        <f t="shared" si="2"/>
        <v>6</v>
      </c>
      <c r="L34" s="89">
        <v>9</v>
      </c>
      <c r="M34" s="189">
        <f t="shared" si="4"/>
        <v>15.19</v>
      </c>
      <c r="N34" s="189">
        <f t="shared" si="1"/>
        <v>10.126666666666667</v>
      </c>
      <c r="O34" s="191">
        <v>8</v>
      </c>
      <c r="P34" s="179" t="s">
        <v>187</v>
      </c>
      <c r="Q34" s="179" t="s">
        <v>188</v>
      </c>
      <c r="R34" s="179"/>
      <c r="S34" s="181"/>
    </row>
    <row r="35" spans="1:19" ht="13.5">
      <c r="A35" s="168"/>
      <c r="B35" s="447" t="s">
        <v>30</v>
      </c>
      <c r="C35" s="214" t="s">
        <v>31</v>
      </c>
      <c r="D35" s="215">
        <v>2</v>
      </c>
      <c r="E35" s="212"/>
      <c r="F35" s="243">
        <f>SUM(D35*12+E35)</f>
        <v>24</v>
      </c>
      <c r="I35" s="187">
        <f t="shared" si="3"/>
        <v>44925</v>
      </c>
      <c r="J35" s="188"/>
      <c r="K35" s="89">
        <f t="shared" si="2"/>
        <v>7</v>
      </c>
      <c r="L35" s="89">
        <v>10</v>
      </c>
      <c r="M35" s="189">
        <f t="shared" si="4"/>
        <v>15.19</v>
      </c>
      <c r="N35" s="189">
        <f t="shared" si="1"/>
        <v>15.19</v>
      </c>
      <c r="O35" s="191">
        <v>9</v>
      </c>
      <c r="P35" s="179" t="s">
        <v>187</v>
      </c>
      <c r="Q35" s="179" t="s">
        <v>188</v>
      </c>
      <c r="R35" s="192"/>
      <c r="S35" s="181"/>
    </row>
    <row r="36" spans="1:19" ht="13.5">
      <c r="A36" s="168"/>
      <c r="B36" s="447"/>
      <c r="C36" s="214" t="s">
        <v>32</v>
      </c>
      <c r="D36" s="215">
        <v>1</v>
      </c>
      <c r="E36" s="213"/>
      <c r="F36" s="239">
        <f>SUM(D36*12+E36)</f>
        <v>12</v>
      </c>
      <c r="I36" s="187">
        <f t="shared" si="3"/>
        <v>45290</v>
      </c>
      <c r="J36" s="188"/>
      <c r="K36" s="89">
        <f t="shared" si="2"/>
        <v>8</v>
      </c>
      <c r="L36" s="89">
        <v>11</v>
      </c>
      <c r="M36" s="189">
        <f t="shared" si="4"/>
        <v>15.19</v>
      </c>
      <c r="N36" s="189">
        <f t="shared" si="1"/>
        <v>15.19</v>
      </c>
      <c r="O36" s="191">
        <v>10</v>
      </c>
      <c r="P36" s="179" t="s">
        <v>187</v>
      </c>
      <c r="Q36" s="179" t="s">
        <v>188</v>
      </c>
      <c r="R36" s="179"/>
      <c r="S36" s="181"/>
    </row>
    <row r="37" spans="1:19" ht="13.5">
      <c r="A37" s="168"/>
      <c r="B37" s="447"/>
      <c r="C37" s="214" t="s">
        <v>33</v>
      </c>
      <c r="D37" s="215"/>
      <c r="E37" s="213"/>
      <c r="F37" s="239">
        <f>SUM(D37*12+E37)</f>
        <v>0</v>
      </c>
      <c r="I37" s="187">
        <f>I36+365+1</f>
        <v>45656</v>
      </c>
      <c r="J37" s="188"/>
      <c r="K37" s="89">
        <f t="shared" si="2"/>
        <v>9</v>
      </c>
      <c r="L37" s="89">
        <v>12</v>
      </c>
      <c r="M37" s="189">
        <f t="shared" si="4"/>
        <v>15.19</v>
      </c>
      <c r="N37" s="189">
        <f t="shared" si="1"/>
        <v>15.19</v>
      </c>
      <c r="O37" s="191"/>
      <c r="P37" s="179"/>
      <c r="Q37" s="179" t="s">
        <v>190</v>
      </c>
      <c r="R37" s="179"/>
      <c r="S37" s="181"/>
    </row>
    <row r="38" spans="1:14" ht="14.25" thickBot="1">
      <c r="A38" s="168"/>
      <c r="B38" s="447"/>
      <c r="C38" s="215"/>
      <c r="D38" s="215"/>
      <c r="E38" s="216"/>
      <c r="F38" s="240">
        <f>SUM(D38*12+E38)</f>
        <v>0</v>
      </c>
      <c r="I38" s="187">
        <f t="shared" si="3"/>
        <v>46021</v>
      </c>
      <c r="J38" s="188"/>
      <c r="K38" s="89">
        <f t="shared" si="2"/>
        <v>10</v>
      </c>
      <c r="L38" s="89">
        <v>13</v>
      </c>
      <c r="M38" s="189">
        <f t="shared" si="4"/>
        <v>15.19</v>
      </c>
      <c r="N38" s="189">
        <f t="shared" si="1"/>
        <v>15.19</v>
      </c>
    </row>
    <row r="39" spans="1:14" ht="14.25" thickBot="1">
      <c r="A39" s="168"/>
      <c r="B39" s="223"/>
      <c r="C39" s="231"/>
      <c r="D39" s="231"/>
      <c r="E39" s="221" t="s">
        <v>13</v>
      </c>
      <c r="F39" s="222">
        <f>SUM(F35:F38)</f>
        <v>36</v>
      </c>
      <c r="I39" s="187">
        <f t="shared" si="3"/>
        <v>46386</v>
      </c>
      <c r="J39" s="188"/>
      <c r="K39" s="89">
        <f t="shared" si="2"/>
        <v>11</v>
      </c>
      <c r="L39" s="89">
        <v>14</v>
      </c>
      <c r="M39" s="189">
        <f t="shared" si="4"/>
        <v>15.19</v>
      </c>
      <c r="N39" s="189">
        <f t="shared" si="1"/>
        <v>15.19</v>
      </c>
    </row>
    <row r="40" spans="1:18" ht="13.5">
      <c r="A40" s="168"/>
      <c r="B40" s="446" t="s">
        <v>21</v>
      </c>
      <c r="C40" s="204" t="s">
        <v>34</v>
      </c>
      <c r="D40" s="203"/>
      <c r="E40" s="217"/>
      <c r="F40" s="243">
        <f>SUM(D40*12+E40)</f>
        <v>0</v>
      </c>
      <c r="I40" s="187">
        <f t="shared" si="3"/>
        <v>46751</v>
      </c>
      <c r="J40" s="188"/>
      <c r="K40" s="89">
        <f t="shared" si="2"/>
        <v>12</v>
      </c>
      <c r="L40" s="89">
        <v>15</v>
      </c>
      <c r="M40" s="189">
        <f t="shared" si="4"/>
        <v>15.19</v>
      </c>
      <c r="N40" s="189">
        <f t="shared" si="1"/>
        <v>15.19</v>
      </c>
      <c r="R40" s="89" t="s">
        <v>199</v>
      </c>
    </row>
    <row r="41" spans="1:14" ht="13.5">
      <c r="A41" s="168"/>
      <c r="B41" s="447"/>
      <c r="C41" s="204"/>
      <c r="D41" s="203"/>
      <c r="E41" s="203"/>
      <c r="F41" s="239">
        <f>SUM(D41*12+E41)</f>
        <v>0</v>
      </c>
      <c r="I41" s="187">
        <f>I40+365+1</f>
        <v>47117</v>
      </c>
      <c r="J41" s="188"/>
      <c r="K41" s="89">
        <f t="shared" si="2"/>
        <v>13</v>
      </c>
      <c r="L41" s="89">
        <v>16</v>
      </c>
      <c r="M41" s="189">
        <f t="shared" si="4"/>
        <v>15.19</v>
      </c>
      <c r="N41" s="189">
        <f t="shared" si="1"/>
        <v>15.19</v>
      </c>
    </row>
    <row r="42" spans="1:14" ht="14.25" thickBot="1">
      <c r="A42" s="168"/>
      <c r="B42" s="447"/>
      <c r="C42" s="204"/>
      <c r="D42" s="203"/>
      <c r="E42" s="203"/>
      <c r="F42" s="239">
        <f>SUM(D42*12+E42)</f>
        <v>0</v>
      </c>
      <c r="I42" s="187">
        <f t="shared" si="3"/>
        <v>47482</v>
      </c>
      <c r="J42" s="188"/>
      <c r="K42" s="89">
        <f t="shared" si="2"/>
        <v>14</v>
      </c>
      <c r="L42" s="89">
        <v>17</v>
      </c>
      <c r="M42" s="189">
        <f t="shared" si="4"/>
        <v>15.19</v>
      </c>
      <c r="N42" s="189">
        <f t="shared" si="1"/>
        <v>15.19</v>
      </c>
    </row>
    <row r="43" spans="1:14" ht="14.25" thickBot="1">
      <c r="A43" s="168"/>
      <c r="B43" s="232"/>
      <c r="C43" s="220"/>
      <c r="D43" s="233"/>
      <c r="E43" s="234" t="s">
        <v>13</v>
      </c>
      <c r="F43" s="235">
        <f>SUM(F40:F42)</f>
        <v>0</v>
      </c>
      <c r="I43" s="187">
        <f>I42+365</f>
        <v>47847</v>
      </c>
      <c r="J43" s="188"/>
      <c r="K43" s="89">
        <f t="shared" si="2"/>
        <v>15</v>
      </c>
      <c r="L43" s="89">
        <v>18</v>
      </c>
      <c r="M43" s="189">
        <f t="shared" si="4"/>
        <v>15.19</v>
      </c>
      <c r="N43" s="189">
        <f t="shared" si="1"/>
        <v>15.19</v>
      </c>
    </row>
    <row r="44" spans="1:14" ht="15" thickBot="1">
      <c r="A44" s="168"/>
      <c r="B44" s="164"/>
      <c r="C44" s="164"/>
      <c r="D44" s="164"/>
      <c r="E44" s="221" t="s">
        <v>3</v>
      </c>
      <c r="F44" s="236">
        <f>SUM(F24+F30+F34+F39+F43)</f>
        <v>310</v>
      </c>
      <c r="I44" s="187">
        <f t="shared" si="3"/>
        <v>48212</v>
      </c>
      <c r="J44" s="188"/>
      <c r="K44" s="89">
        <f t="shared" si="2"/>
        <v>16</v>
      </c>
      <c r="L44" s="89">
        <v>19</v>
      </c>
      <c r="M44" s="189">
        <f t="shared" si="4"/>
        <v>15.19</v>
      </c>
      <c r="N44" s="189">
        <f t="shared" si="1"/>
        <v>15.19</v>
      </c>
    </row>
    <row r="45" spans="1:14" ht="14.25">
      <c r="A45" s="163"/>
      <c r="B45" s="164"/>
      <c r="C45" s="164"/>
      <c r="D45" s="164"/>
      <c r="E45" s="164"/>
      <c r="F45" s="193"/>
      <c r="I45" s="187">
        <f t="shared" si="3"/>
        <v>48577</v>
      </c>
      <c r="J45" s="188"/>
      <c r="K45" s="89">
        <f t="shared" si="2"/>
        <v>17</v>
      </c>
      <c r="L45" s="89">
        <v>21</v>
      </c>
      <c r="M45" s="189">
        <f t="shared" si="4"/>
        <v>15.19</v>
      </c>
      <c r="N45" s="189">
        <f t="shared" si="1"/>
        <v>15.19</v>
      </c>
    </row>
    <row r="46" spans="1:14" ht="15" thickBot="1">
      <c r="A46" s="194"/>
      <c r="B46" s="195"/>
      <c r="C46" s="195"/>
      <c r="D46" s="195"/>
      <c r="E46" s="196"/>
      <c r="F46" s="197"/>
      <c r="I46" s="187">
        <f t="shared" si="3"/>
        <v>48942</v>
      </c>
      <c r="J46" s="188"/>
      <c r="K46" s="89">
        <f t="shared" si="2"/>
        <v>18</v>
      </c>
      <c r="L46" s="89">
        <v>22</v>
      </c>
      <c r="M46" s="189">
        <f t="shared" si="4"/>
        <v>15.19</v>
      </c>
      <c r="N46" s="189">
        <f t="shared" si="1"/>
        <v>15.19</v>
      </c>
    </row>
    <row r="47" spans="1:14" ht="13.5">
      <c r="A47" s="90"/>
      <c r="I47" s="187">
        <f t="shared" si="3"/>
        <v>49307</v>
      </c>
      <c r="J47" s="188"/>
      <c r="K47" s="89">
        <f t="shared" si="2"/>
        <v>19</v>
      </c>
      <c r="L47" s="89">
        <v>23</v>
      </c>
      <c r="M47" s="189">
        <f t="shared" si="4"/>
        <v>15.19</v>
      </c>
      <c r="N47" s="189">
        <f t="shared" si="1"/>
        <v>15.19</v>
      </c>
    </row>
    <row r="48" spans="9:14" ht="13.5">
      <c r="I48" s="187">
        <f t="shared" si="3"/>
        <v>49672</v>
      </c>
      <c r="J48" s="188"/>
      <c r="K48" s="89">
        <f t="shared" si="2"/>
        <v>20</v>
      </c>
      <c r="L48" s="89">
        <v>24</v>
      </c>
      <c r="M48" s="189">
        <f>(($D$27*0.7)+($D$28*0.7/6))*0.014</f>
        <v>15.19</v>
      </c>
      <c r="N48" s="189">
        <f t="shared" si="1"/>
        <v>15.19</v>
      </c>
    </row>
    <row r="49" spans="9:14" ht="13.5">
      <c r="I49" s="187">
        <f t="shared" si="3"/>
        <v>50037</v>
      </c>
      <c r="K49" s="89">
        <f t="shared" si="2"/>
        <v>21</v>
      </c>
      <c r="L49" s="89">
        <v>25</v>
      </c>
      <c r="M49" s="189">
        <f>(($D$27*0.7)+($D$28*0.7/6))*0.014</f>
        <v>15.19</v>
      </c>
      <c r="N49" s="189">
        <f>VLOOKUP(K49,$L$25:$M$48,2,1)</f>
        <v>15.19</v>
      </c>
    </row>
  </sheetData>
  <sheetProtection sheet="1"/>
  <mergeCells count="13">
    <mergeCell ref="M21:M23"/>
    <mergeCell ref="L21:L23"/>
    <mergeCell ref="B27:B29"/>
    <mergeCell ref="C3:C4"/>
    <mergeCell ref="E2:F3"/>
    <mergeCell ref="B25:B26"/>
    <mergeCell ref="B15:B23"/>
    <mergeCell ref="B40:B42"/>
    <mergeCell ref="B35:B38"/>
    <mergeCell ref="E27:E29"/>
    <mergeCell ref="F27:F29"/>
    <mergeCell ref="B31:B33"/>
    <mergeCell ref="C34:D34"/>
  </mergeCells>
  <printOptions/>
  <pageMargins left="0.7086614173228347" right="0.7086614173228347" top="0.35433070866141736" bottom="0.35433070866141736"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
      <selection activeCell="C13" sqref="C13"/>
    </sheetView>
  </sheetViews>
  <sheetFormatPr defaultColWidth="9.140625" defaultRowHeight="15"/>
  <cols>
    <col min="1" max="1" width="2.140625" style="0" customWidth="1"/>
    <col min="2" max="2" width="17.28125" style="0" customWidth="1"/>
    <col min="3" max="3" width="12.8515625" style="29" bestFit="1" customWidth="1"/>
    <col min="4" max="4" width="13.140625" style="0" bestFit="1" customWidth="1"/>
    <col min="5" max="5" width="13.140625" style="0" customWidth="1"/>
    <col min="6" max="6" width="12.7109375" style="0" customWidth="1"/>
    <col min="7" max="7" width="16.28125" style="0" bestFit="1" customWidth="1"/>
    <col min="8" max="8" width="4.140625" style="0" customWidth="1"/>
  </cols>
  <sheetData>
    <row r="1" spans="1:8" ht="13.5">
      <c r="A1" s="37" t="s">
        <v>158</v>
      </c>
      <c r="B1" s="33"/>
      <c r="C1" s="61"/>
      <c r="D1" s="33"/>
      <c r="E1" s="33"/>
      <c r="F1" s="33"/>
      <c r="G1" s="33"/>
      <c r="H1" s="33"/>
    </row>
    <row r="2" spans="1:8" ht="13.5">
      <c r="A2" s="33"/>
      <c r="B2" s="33"/>
      <c r="C2" s="61"/>
      <c r="D2" s="33"/>
      <c r="E2" s="462" t="s">
        <v>159</v>
      </c>
      <c r="F2" s="463"/>
      <c r="G2" s="33"/>
      <c r="H2" s="33"/>
    </row>
    <row r="3" spans="1:8" ht="14.25" thickBot="1">
      <c r="A3" s="33"/>
      <c r="B3" s="40" t="s">
        <v>64</v>
      </c>
      <c r="C3" s="70" t="s">
        <v>20</v>
      </c>
      <c r="D3" s="39"/>
      <c r="E3" s="464"/>
      <c r="F3" s="465"/>
      <c r="G3" s="38"/>
      <c r="H3" s="33"/>
    </row>
    <row r="4" spans="1:8" ht="28.5" customHeight="1">
      <c r="A4" s="33"/>
      <c r="B4" s="22" t="s">
        <v>51</v>
      </c>
      <c r="C4" s="71" t="s">
        <v>58</v>
      </c>
      <c r="D4" s="41"/>
      <c r="E4" s="33"/>
      <c r="F4" s="33"/>
      <c r="G4" s="33"/>
      <c r="H4" s="33"/>
    </row>
    <row r="5" spans="1:8" ht="13.5">
      <c r="A5" s="33"/>
      <c r="B5" s="11" t="s">
        <v>54</v>
      </c>
      <c r="C5" s="72">
        <f>シート１!AB25</f>
        <v>0</v>
      </c>
      <c r="D5" s="35"/>
      <c r="E5" s="33"/>
      <c r="F5" s="33"/>
      <c r="G5" s="33"/>
      <c r="H5" s="33"/>
    </row>
    <row r="6" spans="1:8" ht="13.5">
      <c r="A6" s="33"/>
      <c r="B6" s="11" t="s">
        <v>55</v>
      </c>
      <c r="C6" s="72">
        <v>50</v>
      </c>
      <c r="D6" s="35"/>
      <c r="E6" s="33"/>
      <c r="F6" s="33"/>
      <c r="G6" s="33"/>
      <c r="H6" s="33"/>
    </row>
    <row r="7" spans="1:8" ht="13.5">
      <c r="A7" s="33"/>
      <c r="B7" s="11" t="s">
        <v>56</v>
      </c>
      <c r="C7" s="72"/>
      <c r="D7" s="35"/>
      <c r="E7" s="33"/>
      <c r="F7" s="33"/>
      <c r="G7" s="33"/>
      <c r="H7" s="33"/>
    </row>
    <row r="8" spans="1:8" ht="13.5">
      <c r="A8" s="33"/>
      <c r="B8" s="11" t="s">
        <v>57</v>
      </c>
      <c r="C8" s="73"/>
      <c r="D8" s="35"/>
      <c r="E8" s="33"/>
      <c r="F8" s="33"/>
      <c r="G8" s="33"/>
      <c r="H8" s="33"/>
    </row>
    <row r="9" spans="1:8" ht="14.25" thickBot="1">
      <c r="A9" s="33"/>
      <c r="B9" s="15" t="s">
        <v>53</v>
      </c>
      <c r="C9" s="74">
        <f>SUM(C5:C8)</f>
        <v>50</v>
      </c>
      <c r="D9" s="35"/>
      <c r="E9" s="33"/>
      <c r="F9" s="33"/>
      <c r="G9" s="33"/>
      <c r="H9" s="33"/>
    </row>
    <row r="10" spans="1:8" ht="13.5">
      <c r="A10" s="33"/>
      <c r="B10" s="33"/>
      <c r="C10" s="61"/>
      <c r="D10" s="36"/>
      <c r="E10" s="36"/>
      <c r="F10" s="36"/>
      <c r="G10" s="35"/>
      <c r="H10" s="33"/>
    </row>
    <row r="11" spans="1:8" ht="14.25" thickBot="1">
      <c r="A11" s="33"/>
      <c r="B11" s="40" t="s">
        <v>65</v>
      </c>
      <c r="C11" s="61"/>
      <c r="D11" s="33"/>
      <c r="E11" s="33"/>
      <c r="F11" s="33"/>
      <c r="G11" s="39" t="s">
        <v>20</v>
      </c>
      <c r="H11" s="33"/>
    </row>
    <row r="12" spans="1:8" ht="13.5">
      <c r="A12" s="33"/>
      <c r="B12" s="10" t="s">
        <v>52</v>
      </c>
      <c r="C12" s="75" t="s">
        <v>35</v>
      </c>
      <c r="D12" s="23" t="s">
        <v>60</v>
      </c>
      <c r="E12" s="3" t="s">
        <v>61</v>
      </c>
      <c r="F12" s="3" t="s">
        <v>62</v>
      </c>
      <c r="G12" s="2" t="s">
        <v>36</v>
      </c>
      <c r="H12" s="33"/>
    </row>
    <row r="13" spans="1:8" ht="13.5">
      <c r="A13" s="33"/>
      <c r="B13" s="14" t="s">
        <v>14</v>
      </c>
      <c r="C13" s="72">
        <v>300</v>
      </c>
      <c r="D13" s="24">
        <v>500</v>
      </c>
      <c r="E13" s="12" t="s">
        <v>168</v>
      </c>
      <c r="F13" s="69" t="s">
        <v>167</v>
      </c>
      <c r="G13" s="13">
        <v>63</v>
      </c>
      <c r="H13" s="33"/>
    </row>
    <row r="14" spans="1:8" ht="13.5">
      <c r="A14" s="33"/>
      <c r="B14" s="14" t="s">
        <v>37</v>
      </c>
      <c r="C14" s="72"/>
      <c r="D14" s="24"/>
      <c r="E14" s="12"/>
      <c r="F14" s="69"/>
      <c r="G14" s="13"/>
      <c r="H14" s="33"/>
    </row>
    <row r="15" spans="1:8" ht="13.5">
      <c r="A15" s="33"/>
      <c r="B15" s="14"/>
      <c r="C15" s="73"/>
      <c r="D15" s="24"/>
      <c r="E15" s="12"/>
      <c r="F15" s="12"/>
      <c r="G15" s="13"/>
      <c r="H15" s="33"/>
    </row>
    <row r="16" spans="1:8" ht="14.25" thickBot="1">
      <c r="A16" s="33"/>
      <c r="B16" s="21" t="s">
        <v>53</v>
      </c>
      <c r="C16" s="76">
        <f>SUM(C13:C15)</f>
        <v>300</v>
      </c>
      <c r="D16" s="32">
        <f>SUM(D13:D15)</f>
        <v>500</v>
      </c>
      <c r="E16" s="16"/>
      <c r="F16" s="9"/>
      <c r="G16" s="9">
        <f>SUM(G13:G15)</f>
        <v>63</v>
      </c>
      <c r="H16" s="33"/>
    </row>
    <row r="17" spans="1:8" ht="13.5">
      <c r="A17" s="33"/>
      <c r="B17" s="33"/>
      <c r="C17" s="61"/>
      <c r="D17" s="33"/>
      <c r="E17" s="39"/>
      <c r="F17" s="39"/>
      <c r="G17" s="33"/>
      <c r="H17" s="33"/>
    </row>
    <row r="18" spans="1:8" ht="14.25" thickBot="1">
      <c r="A18" s="33"/>
      <c r="B18" s="40" t="s">
        <v>66</v>
      </c>
      <c r="C18" s="61"/>
      <c r="D18" s="33"/>
      <c r="E18" s="39"/>
      <c r="F18" s="39" t="s">
        <v>20</v>
      </c>
      <c r="G18" s="33"/>
      <c r="H18" s="33"/>
    </row>
    <row r="19" spans="1:8" ht="13.5">
      <c r="A19" s="33"/>
      <c r="B19" s="10" t="s">
        <v>52</v>
      </c>
      <c r="C19" s="75" t="s">
        <v>108</v>
      </c>
      <c r="D19" s="23" t="s">
        <v>61</v>
      </c>
      <c r="E19" s="2" t="s">
        <v>63</v>
      </c>
      <c r="F19" s="2" t="s">
        <v>36</v>
      </c>
      <c r="G19" s="33"/>
      <c r="H19" s="33"/>
    </row>
    <row r="20" spans="1:8" ht="13.5">
      <c r="A20" s="33"/>
      <c r="B20" s="14" t="s">
        <v>59</v>
      </c>
      <c r="C20" s="72">
        <f>シート１!AC25</f>
        <v>1500</v>
      </c>
      <c r="D20" s="77" t="s">
        <v>167</v>
      </c>
      <c r="E20" s="69" t="s">
        <v>169</v>
      </c>
      <c r="F20" s="12">
        <v>81</v>
      </c>
      <c r="G20" s="33"/>
      <c r="H20" s="33"/>
    </row>
    <row r="21" spans="1:8" ht="13.5">
      <c r="A21" s="33"/>
      <c r="B21" s="14" t="s">
        <v>37</v>
      </c>
      <c r="C21" s="72"/>
      <c r="D21" s="77"/>
      <c r="E21" s="69"/>
      <c r="F21" s="12"/>
      <c r="G21" s="33"/>
      <c r="H21" s="33"/>
    </row>
    <row r="22" spans="1:8" ht="13.5">
      <c r="A22" s="33"/>
      <c r="B22" s="14"/>
      <c r="C22" s="73"/>
      <c r="D22" s="77"/>
      <c r="E22" s="12"/>
      <c r="F22" s="12"/>
      <c r="G22" s="33"/>
      <c r="H22" s="33"/>
    </row>
    <row r="23" spans="1:8" ht="14.25" thickBot="1">
      <c r="A23" s="33"/>
      <c r="B23" s="21" t="s">
        <v>53</v>
      </c>
      <c r="C23" s="76">
        <f>SUM(C20:C22)</f>
        <v>1500</v>
      </c>
      <c r="D23" s="16"/>
      <c r="E23" s="9"/>
      <c r="F23" s="9">
        <f>SUM(F20:F22)</f>
        <v>81</v>
      </c>
      <c r="G23" s="33"/>
      <c r="H23" s="33"/>
    </row>
    <row r="24" spans="1:8" ht="13.5">
      <c r="A24" s="33"/>
      <c r="B24" s="33"/>
      <c r="C24" s="61"/>
      <c r="D24" s="33"/>
      <c r="E24" s="33"/>
      <c r="F24" s="33"/>
      <c r="G24" s="33"/>
      <c r="H24" s="33"/>
    </row>
    <row r="25" spans="1:8" ht="13.5">
      <c r="A25" s="33"/>
      <c r="B25" s="33"/>
      <c r="C25" s="61"/>
      <c r="D25" s="33"/>
      <c r="E25" s="33"/>
      <c r="F25" s="33"/>
      <c r="G25" s="33"/>
      <c r="H25" s="33"/>
    </row>
  </sheetData>
  <sheetProtection/>
  <mergeCells count="1">
    <mergeCell ref="E2:F3"/>
  </mergeCells>
  <printOptions/>
  <pageMargins left="0.25" right="0.25"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09"/>
  <sheetViews>
    <sheetView zoomScalePageLayoutView="0" workbookViewId="0" topLeftCell="A1">
      <selection activeCell="H4" sqref="H4"/>
    </sheetView>
  </sheetViews>
  <sheetFormatPr defaultColWidth="9.140625" defaultRowHeight="15"/>
  <cols>
    <col min="1" max="1" width="2.421875" style="0" customWidth="1"/>
    <col min="2" max="3" width="10.57421875" style="0" customWidth="1"/>
    <col min="4" max="4" width="15.57421875" style="0" customWidth="1"/>
    <col min="5" max="5" width="22.57421875" style="0" customWidth="1"/>
    <col min="6" max="6" width="20.57421875" style="0" hidden="1" customWidth="1"/>
    <col min="7" max="8" width="22.57421875" style="0" customWidth="1"/>
    <col min="9" max="9" width="3.28125" style="0" customWidth="1"/>
  </cols>
  <sheetData>
    <row r="1" spans="1:9" ht="13.5">
      <c r="A1" s="37" t="s">
        <v>160</v>
      </c>
      <c r="B1" s="33"/>
      <c r="C1" s="33"/>
      <c r="D1" s="33"/>
      <c r="E1" s="50" t="s">
        <v>164</v>
      </c>
      <c r="F1" s="33"/>
      <c r="G1" s="33"/>
      <c r="H1" s="33"/>
      <c r="I1" s="33"/>
    </row>
    <row r="2" spans="1:9" ht="13.5">
      <c r="A2" s="33"/>
      <c r="B2" s="33"/>
      <c r="C2" s="33"/>
      <c r="D2" s="33"/>
      <c r="E2" s="33"/>
      <c r="F2" s="33"/>
      <c r="G2" s="45"/>
      <c r="H2" s="38" t="s">
        <v>157</v>
      </c>
      <c r="I2" s="33"/>
    </row>
    <row r="3" spans="1:9" ht="24" customHeight="1">
      <c r="A3" s="33"/>
      <c r="B3" s="33"/>
      <c r="C3" s="471" t="s">
        <v>119</v>
      </c>
      <c r="D3" s="471"/>
      <c r="E3" s="19" t="s">
        <v>165</v>
      </c>
      <c r="F3" s="19"/>
      <c r="G3" s="19" t="s">
        <v>121</v>
      </c>
      <c r="H3" s="19" t="s">
        <v>166</v>
      </c>
      <c r="I3" s="33"/>
    </row>
    <row r="4" spans="1:9" ht="24" customHeight="1">
      <c r="A4" s="33"/>
      <c r="B4" s="33"/>
      <c r="C4" s="471"/>
      <c r="D4" s="471"/>
      <c r="E4" s="27">
        <f>シート１!AB25*10000</f>
        <v>0</v>
      </c>
      <c r="F4" s="28"/>
      <c r="G4" s="28">
        <f>シート１!AB22</f>
        <v>0</v>
      </c>
      <c r="H4" s="78">
        <f>シート１!AG23</f>
        <v>1</v>
      </c>
      <c r="I4" s="33"/>
    </row>
    <row r="5" spans="1:9" ht="13.5">
      <c r="A5" s="33"/>
      <c r="B5" s="33"/>
      <c r="C5" s="33"/>
      <c r="D5" s="33"/>
      <c r="E5" s="33"/>
      <c r="F5" s="33"/>
      <c r="G5" s="33"/>
      <c r="H5" s="33"/>
      <c r="I5" s="33"/>
    </row>
    <row r="6" spans="1:9" ht="13.5">
      <c r="A6" s="33"/>
      <c r="B6" s="42"/>
      <c r="C6" s="472" t="s">
        <v>123</v>
      </c>
      <c r="D6" s="472"/>
      <c r="E6" s="20" t="s">
        <v>124</v>
      </c>
      <c r="F6" s="20"/>
      <c r="G6" s="20" t="s">
        <v>130</v>
      </c>
      <c r="H6" s="20" t="s">
        <v>125</v>
      </c>
      <c r="I6" s="33"/>
    </row>
    <row r="7" spans="1:9" ht="13.5">
      <c r="A7" s="33"/>
      <c r="B7" s="43"/>
      <c r="C7" s="472"/>
      <c r="D7" s="472"/>
      <c r="E7" s="27">
        <f>-PMT(G4/12,H4,E4)</f>
        <v>0</v>
      </c>
      <c r="F7" s="31"/>
      <c r="G7" s="29">
        <f>+E7*12</f>
        <v>0</v>
      </c>
      <c r="H7" s="30">
        <f>+E7*H4</f>
        <v>0</v>
      </c>
      <c r="I7" s="33"/>
    </row>
    <row r="8" spans="1:10" ht="13.5">
      <c r="A8" s="33"/>
      <c r="B8" s="44"/>
      <c r="C8" s="20" t="s">
        <v>126</v>
      </c>
      <c r="D8" s="20" t="s">
        <v>124</v>
      </c>
      <c r="E8" s="20" t="s">
        <v>127</v>
      </c>
      <c r="F8" s="20" t="s">
        <v>128</v>
      </c>
      <c r="G8" s="26" t="s">
        <v>129</v>
      </c>
      <c r="H8" s="20" t="s">
        <v>156</v>
      </c>
      <c r="I8" s="33"/>
      <c r="J8" s="255"/>
    </row>
    <row r="9" spans="1:9" ht="13.5">
      <c r="A9" s="33"/>
      <c r="B9" s="469" t="s">
        <v>131</v>
      </c>
      <c r="C9" s="18">
        <v>1</v>
      </c>
      <c r="D9" s="27">
        <f>$E$7</f>
        <v>0</v>
      </c>
      <c r="E9" s="17">
        <f>-PPMT($G$4/12,$C9,$H$4,$E$4)</f>
        <v>0</v>
      </c>
      <c r="F9" s="17">
        <f>-IPMT($G$4/12,$C9,$H$4,$E$4)</f>
        <v>0</v>
      </c>
      <c r="G9" s="25">
        <f>$E$4-SUM($E$9:E9)</f>
        <v>0</v>
      </c>
      <c r="H9" s="470">
        <f>+G20</f>
        <v>0</v>
      </c>
      <c r="I9" s="33"/>
    </row>
    <row r="10" spans="1:9" ht="13.5">
      <c r="A10" s="33"/>
      <c r="B10" s="469"/>
      <c r="C10" s="18">
        <v>2</v>
      </c>
      <c r="D10" s="27">
        <f>IF(G9&lt;0.1,0,$E$7)</f>
        <v>0</v>
      </c>
      <c r="E10" s="17" t="e">
        <f>-PPMT($G$4/12,$C10,$H$4,$E$4)</f>
        <v>#NUM!</v>
      </c>
      <c r="F10" s="17" t="e">
        <f aca="true" t="shared" si="0" ref="F10:F73">-IPMT($G$4/12,$C10,$H$4,$E$4)</f>
        <v>#NUM!</v>
      </c>
      <c r="G10" s="25">
        <f>IF(G9&lt;0.1,0,$E$4-SUM($E$9:E10))</f>
        <v>0</v>
      </c>
      <c r="H10" s="467"/>
      <c r="I10" s="33"/>
    </row>
    <row r="11" spans="1:9" ht="13.5">
      <c r="A11" s="33"/>
      <c r="B11" s="469"/>
      <c r="C11" s="18">
        <v>3</v>
      </c>
      <c r="D11" s="27">
        <f aca="true" t="shared" si="1" ref="D11:D74">IF(G10&lt;0.1,0,$E$7)</f>
        <v>0</v>
      </c>
      <c r="E11" s="17" t="e">
        <f aca="true" t="shared" si="2" ref="E11:E73">-PPMT($G$4/12,$C11,$H$4,$E$4)</f>
        <v>#NUM!</v>
      </c>
      <c r="F11" s="17" t="e">
        <f t="shared" si="0"/>
        <v>#NUM!</v>
      </c>
      <c r="G11" s="25">
        <f>IF(G10&lt;0.1,0,$E$4-SUM($E$9:E11))</f>
        <v>0</v>
      </c>
      <c r="H11" s="467"/>
      <c r="I11" s="33"/>
    </row>
    <row r="12" spans="1:9" ht="13.5">
      <c r="A12" s="33"/>
      <c r="B12" s="469"/>
      <c r="C12" s="18">
        <v>4</v>
      </c>
      <c r="D12" s="27">
        <f t="shared" si="1"/>
        <v>0</v>
      </c>
      <c r="E12" s="17" t="e">
        <f t="shared" si="2"/>
        <v>#NUM!</v>
      </c>
      <c r="F12" s="17" t="e">
        <f t="shared" si="0"/>
        <v>#NUM!</v>
      </c>
      <c r="G12" s="25">
        <f>IF(G11&lt;0.1,0,$E$4-SUM($E$9:E12))</f>
        <v>0</v>
      </c>
      <c r="H12" s="467"/>
      <c r="I12" s="33"/>
    </row>
    <row r="13" spans="1:9" ht="13.5">
      <c r="A13" s="33"/>
      <c r="B13" s="469"/>
      <c r="C13" s="18">
        <v>5</v>
      </c>
      <c r="D13" s="27">
        <f t="shared" si="1"/>
        <v>0</v>
      </c>
      <c r="E13" s="17" t="e">
        <f t="shared" si="2"/>
        <v>#NUM!</v>
      </c>
      <c r="F13" s="17" t="e">
        <f t="shared" si="0"/>
        <v>#NUM!</v>
      </c>
      <c r="G13" s="25">
        <f>IF(G12&lt;0.1,0,$E$4-SUM($E$9:E13))</f>
        <v>0</v>
      </c>
      <c r="H13" s="467"/>
      <c r="I13" s="33"/>
    </row>
    <row r="14" spans="1:9" ht="13.5">
      <c r="A14" s="33"/>
      <c r="B14" s="469"/>
      <c r="C14" s="18">
        <v>6</v>
      </c>
      <c r="D14" s="27">
        <f t="shared" si="1"/>
        <v>0</v>
      </c>
      <c r="E14" s="17" t="e">
        <f t="shared" si="2"/>
        <v>#NUM!</v>
      </c>
      <c r="F14" s="17" t="e">
        <f t="shared" si="0"/>
        <v>#NUM!</v>
      </c>
      <c r="G14" s="25">
        <f>IF(G13&lt;0.1,0,$E$4-SUM($E$9:E14))</f>
        <v>0</v>
      </c>
      <c r="H14" s="467"/>
      <c r="I14" s="33"/>
    </row>
    <row r="15" spans="1:9" ht="13.5">
      <c r="A15" s="33"/>
      <c r="B15" s="469"/>
      <c r="C15" s="18">
        <v>7</v>
      </c>
      <c r="D15" s="27">
        <f t="shared" si="1"/>
        <v>0</v>
      </c>
      <c r="E15" s="17" t="e">
        <f t="shared" si="2"/>
        <v>#NUM!</v>
      </c>
      <c r="F15" s="17" t="e">
        <f t="shared" si="0"/>
        <v>#NUM!</v>
      </c>
      <c r="G15" s="25">
        <f>IF(G14&lt;0.1,0,$E$4-SUM($E$9:E15))</f>
        <v>0</v>
      </c>
      <c r="H15" s="467"/>
      <c r="I15" s="33"/>
    </row>
    <row r="16" spans="1:9" ht="13.5">
      <c r="A16" s="33"/>
      <c r="B16" s="469"/>
      <c r="C16" s="18">
        <v>8</v>
      </c>
      <c r="D16" s="27">
        <f t="shared" si="1"/>
        <v>0</v>
      </c>
      <c r="E16" s="17" t="e">
        <f t="shared" si="2"/>
        <v>#NUM!</v>
      </c>
      <c r="F16" s="17" t="e">
        <f t="shared" si="0"/>
        <v>#NUM!</v>
      </c>
      <c r="G16" s="25">
        <f>IF(G15&lt;0.1,0,$E$4-SUM($E$9:E16))</f>
        <v>0</v>
      </c>
      <c r="H16" s="467"/>
      <c r="I16" s="33"/>
    </row>
    <row r="17" spans="1:9" ht="13.5">
      <c r="A17" s="33"/>
      <c r="B17" s="469"/>
      <c r="C17" s="18">
        <v>9</v>
      </c>
      <c r="D17" s="27">
        <f t="shared" si="1"/>
        <v>0</v>
      </c>
      <c r="E17" s="17" t="e">
        <f t="shared" si="2"/>
        <v>#NUM!</v>
      </c>
      <c r="F17" s="17" t="e">
        <f t="shared" si="0"/>
        <v>#NUM!</v>
      </c>
      <c r="G17" s="25">
        <f>IF(G16&lt;0.1,0,$E$4-SUM($E$9:E17))</f>
        <v>0</v>
      </c>
      <c r="H17" s="467"/>
      <c r="I17" s="33"/>
    </row>
    <row r="18" spans="1:9" ht="13.5">
      <c r="A18" s="33"/>
      <c r="B18" s="469"/>
      <c r="C18" s="18">
        <v>10</v>
      </c>
      <c r="D18" s="27">
        <f t="shared" si="1"/>
        <v>0</v>
      </c>
      <c r="E18" s="17" t="e">
        <f t="shared" si="2"/>
        <v>#NUM!</v>
      </c>
      <c r="F18" s="17" t="e">
        <f t="shared" si="0"/>
        <v>#NUM!</v>
      </c>
      <c r="G18" s="25">
        <f>IF(G17&lt;0.1,0,$E$4-SUM($E$9:E18))</f>
        <v>0</v>
      </c>
      <c r="H18" s="467"/>
      <c r="I18" s="33"/>
    </row>
    <row r="19" spans="1:9" ht="13.5">
      <c r="A19" s="33"/>
      <c r="B19" s="469"/>
      <c r="C19" s="18">
        <v>11</v>
      </c>
      <c r="D19" s="27">
        <f t="shared" si="1"/>
        <v>0</v>
      </c>
      <c r="E19" s="17" t="e">
        <f t="shared" si="2"/>
        <v>#NUM!</v>
      </c>
      <c r="F19" s="17" t="e">
        <f t="shared" si="0"/>
        <v>#NUM!</v>
      </c>
      <c r="G19" s="25">
        <f>IF(G18&lt;0.1,0,$E$4-SUM($E$9:E19))</f>
        <v>0</v>
      </c>
      <c r="H19" s="467"/>
      <c r="I19" s="33"/>
    </row>
    <row r="20" spans="1:9" ht="14.25" thickBot="1">
      <c r="A20" s="33"/>
      <c r="B20" s="469"/>
      <c r="C20" s="18">
        <v>12</v>
      </c>
      <c r="D20" s="27">
        <f t="shared" si="1"/>
        <v>0</v>
      </c>
      <c r="E20" s="17" t="e">
        <f t="shared" si="2"/>
        <v>#NUM!</v>
      </c>
      <c r="F20" s="17" t="e">
        <f t="shared" si="0"/>
        <v>#NUM!</v>
      </c>
      <c r="G20" s="25">
        <f>IF(G19&lt;0.1,0,$E$4-SUM($E$9:E20))</f>
        <v>0</v>
      </c>
      <c r="H20" s="468"/>
      <c r="I20" s="33"/>
    </row>
    <row r="21" spans="1:9" ht="13.5">
      <c r="A21" s="33"/>
      <c r="B21" s="469" t="s">
        <v>132</v>
      </c>
      <c r="C21" s="18">
        <v>13</v>
      </c>
      <c r="D21" s="27">
        <f t="shared" si="1"/>
        <v>0</v>
      </c>
      <c r="E21" s="17" t="e">
        <f t="shared" si="2"/>
        <v>#NUM!</v>
      </c>
      <c r="F21" s="17" t="e">
        <f t="shared" si="0"/>
        <v>#NUM!</v>
      </c>
      <c r="G21" s="25">
        <f>IF(G20&lt;0.1,0,$E$4-SUM($E$9:E21))</f>
        <v>0</v>
      </c>
      <c r="H21" s="466">
        <f>+G32</f>
        <v>0</v>
      </c>
      <c r="I21" s="33"/>
    </row>
    <row r="22" spans="1:9" ht="13.5">
      <c r="A22" s="33"/>
      <c r="B22" s="469"/>
      <c r="C22" s="18">
        <v>14</v>
      </c>
      <c r="D22" s="27">
        <f t="shared" si="1"/>
        <v>0</v>
      </c>
      <c r="E22" s="17" t="e">
        <f t="shared" si="2"/>
        <v>#NUM!</v>
      </c>
      <c r="F22" s="17" t="e">
        <f t="shared" si="0"/>
        <v>#NUM!</v>
      </c>
      <c r="G22" s="25">
        <f>IF(G21&lt;0.1,0,$E$4-SUM($E$9:E22))</f>
        <v>0</v>
      </c>
      <c r="H22" s="467"/>
      <c r="I22" s="33"/>
    </row>
    <row r="23" spans="1:9" ht="13.5">
      <c r="A23" s="33"/>
      <c r="B23" s="469"/>
      <c r="C23" s="18">
        <v>15</v>
      </c>
      <c r="D23" s="27">
        <f t="shared" si="1"/>
        <v>0</v>
      </c>
      <c r="E23" s="17" t="e">
        <f t="shared" si="2"/>
        <v>#NUM!</v>
      </c>
      <c r="F23" s="17" t="e">
        <f t="shared" si="0"/>
        <v>#NUM!</v>
      </c>
      <c r="G23" s="25">
        <f>IF(G22&lt;0.1,0,$E$4-SUM($E$9:E23))</f>
        <v>0</v>
      </c>
      <c r="H23" s="467"/>
      <c r="I23" s="33"/>
    </row>
    <row r="24" spans="1:9" ht="13.5">
      <c r="A24" s="33"/>
      <c r="B24" s="469"/>
      <c r="C24" s="18">
        <v>16</v>
      </c>
      <c r="D24" s="27">
        <f t="shared" si="1"/>
        <v>0</v>
      </c>
      <c r="E24" s="17" t="e">
        <f t="shared" si="2"/>
        <v>#NUM!</v>
      </c>
      <c r="F24" s="17" t="e">
        <f t="shared" si="0"/>
        <v>#NUM!</v>
      </c>
      <c r="G24" s="25">
        <f>IF(G23&lt;0.1,0,$E$4-SUM($E$9:E24))</f>
        <v>0</v>
      </c>
      <c r="H24" s="467"/>
      <c r="I24" s="33"/>
    </row>
    <row r="25" spans="1:9" ht="13.5">
      <c r="A25" s="33"/>
      <c r="B25" s="469"/>
      <c r="C25" s="18">
        <v>17</v>
      </c>
      <c r="D25" s="27">
        <f t="shared" si="1"/>
        <v>0</v>
      </c>
      <c r="E25" s="17" t="e">
        <f t="shared" si="2"/>
        <v>#NUM!</v>
      </c>
      <c r="F25" s="17" t="e">
        <f t="shared" si="0"/>
        <v>#NUM!</v>
      </c>
      <c r="G25" s="25">
        <f>IF(G24&lt;0.1,0,$E$4-SUM($E$9:E25))</f>
        <v>0</v>
      </c>
      <c r="H25" s="467"/>
      <c r="I25" s="33"/>
    </row>
    <row r="26" spans="1:9" ht="13.5">
      <c r="A26" s="33"/>
      <c r="B26" s="469"/>
      <c r="C26" s="18">
        <v>18</v>
      </c>
      <c r="D26" s="27">
        <f t="shared" si="1"/>
        <v>0</v>
      </c>
      <c r="E26" s="17" t="e">
        <f t="shared" si="2"/>
        <v>#NUM!</v>
      </c>
      <c r="F26" s="17" t="e">
        <f t="shared" si="0"/>
        <v>#NUM!</v>
      </c>
      <c r="G26" s="25">
        <f>IF(G25&lt;0.1,0,$E$4-SUM($E$9:E26))</f>
        <v>0</v>
      </c>
      <c r="H26" s="467"/>
      <c r="I26" s="33"/>
    </row>
    <row r="27" spans="1:9" ht="13.5">
      <c r="A27" s="33"/>
      <c r="B27" s="469"/>
      <c r="C27" s="18">
        <v>19</v>
      </c>
      <c r="D27" s="27">
        <f t="shared" si="1"/>
        <v>0</v>
      </c>
      <c r="E27" s="17" t="e">
        <f t="shared" si="2"/>
        <v>#NUM!</v>
      </c>
      <c r="F27" s="17" t="e">
        <f t="shared" si="0"/>
        <v>#NUM!</v>
      </c>
      <c r="G27" s="25">
        <f>IF(G26&lt;0.1,0,$E$4-SUM($E$9:E27))</f>
        <v>0</v>
      </c>
      <c r="H27" s="467"/>
      <c r="I27" s="33"/>
    </row>
    <row r="28" spans="1:9" ht="13.5">
      <c r="A28" s="33"/>
      <c r="B28" s="469"/>
      <c r="C28" s="18">
        <v>20</v>
      </c>
      <c r="D28" s="27">
        <f t="shared" si="1"/>
        <v>0</v>
      </c>
      <c r="E28" s="17" t="e">
        <f t="shared" si="2"/>
        <v>#NUM!</v>
      </c>
      <c r="F28" s="17" t="e">
        <f t="shared" si="0"/>
        <v>#NUM!</v>
      </c>
      <c r="G28" s="25">
        <f>IF(G27&lt;0.1,0,$E$4-SUM($E$9:E28))</f>
        <v>0</v>
      </c>
      <c r="H28" s="467"/>
      <c r="I28" s="33"/>
    </row>
    <row r="29" spans="1:9" ht="13.5">
      <c r="A29" s="33"/>
      <c r="B29" s="469"/>
      <c r="C29" s="18">
        <v>21</v>
      </c>
      <c r="D29" s="27">
        <f t="shared" si="1"/>
        <v>0</v>
      </c>
      <c r="E29" s="17" t="e">
        <f t="shared" si="2"/>
        <v>#NUM!</v>
      </c>
      <c r="F29" s="17" t="e">
        <f t="shared" si="0"/>
        <v>#NUM!</v>
      </c>
      <c r="G29" s="25">
        <f>IF(G28&lt;0.1,0,$E$4-SUM($E$9:E29))</f>
        <v>0</v>
      </c>
      <c r="H29" s="467"/>
      <c r="I29" s="33"/>
    </row>
    <row r="30" spans="1:9" ht="13.5">
      <c r="A30" s="33"/>
      <c r="B30" s="469"/>
      <c r="C30" s="18">
        <v>22</v>
      </c>
      <c r="D30" s="27">
        <f t="shared" si="1"/>
        <v>0</v>
      </c>
      <c r="E30" s="17" t="e">
        <f t="shared" si="2"/>
        <v>#NUM!</v>
      </c>
      <c r="F30" s="17" t="e">
        <f t="shared" si="0"/>
        <v>#NUM!</v>
      </c>
      <c r="G30" s="25">
        <f>IF(G29&lt;0.1,0,$E$4-SUM($E$9:E30))</f>
        <v>0</v>
      </c>
      <c r="H30" s="467"/>
      <c r="I30" s="33"/>
    </row>
    <row r="31" spans="1:9" ht="13.5">
      <c r="A31" s="33"/>
      <c r="B31" s="469"/>
      <c r="C31" s="18">
        <v>23</v>
      </c>
      <c r="D31" s="27">
        <f t="shared" si="1"/>
        <v>0</v>
      </c>
      <c r="E31" s="17" t="e">
        <f t="shared" si="2"/>
        <v>#NUM!</v>
      </c>
      <c r="F31" s="17" t="e">
        <f t="shared" si="0"/>
        <v>#NUM!</v>
      </c>
      <c r="G31" s="25">
        <f>IF(G30&lt;0.1,0,$E$4-SUM($E$9:E31))</f>
        <v>0</v>
      </c>
      <c r="H31" s="467"/>
      <c r="I31" s="33"/>
    </row>
    <row r="32" spans="1:9" ht="14.25" thickBot="1">
      <c r="A32" s="33"/>
      <c r="B32" s="469"/>
      <c r="C32" s="18">
        <v>24</v>
      </c>
      <c r="D32" s="27">
        <f t="shared" si="1"/>
        <v>0</v>
      </c>
      <c r="E32" s="17" t="e">
        <f t="shared" si="2"/>
        <v>#NUM!</v>
      </c>
      <c r="F32" s="17" t="e">
        <f t="shared" si="0"/>
        <v>#NUM!</v>
      </c>
      <c r="G32" s="25">
        <f>IF(G31&lt;0.1,0,$E$4-SUM($E$9:E32))</f>
        <v>0</v>
      </c>
      <c r="H32" s="468"/>
      <c r="I32" s="33"/>
    </row>
    <row r="33" spans="1:9" ht="13.5">
      <c r="A33" s="33"/>
      <c r="B33" s="469" t="s">
        <v>133</v>
      </c>
      <c r="C33" s="18">
        <v>25</v>
      </c>
      <c r="D33" s="27">
        <f t="shared" si="1"/>
        <v>0</v>
      </c>
      <c r="E33" s="17" t="e">
        <f t="shared" si="2"/>
        <v>#NUM!</v>
      </c>
      <c r="F33" s="17" t="e">
        <f t="shared" si="0"/>
        <v>#NUM!</v>
      </c>
      <c r="G33" s="25">
        <f>IF(G32&lt;0.1,0,$E$4-SUM($E$9:E33))</f>
        <v>0</v>
      </c>
      <c r="H33" s="466">
        <f>+G44</f>
        <v>0</v>
      </c>
      <c r="I33" s="33"/>
    </row>
    <row r="34" spans="1:9" ht="13.5">
      <c r="A34" s="33"/>
      <c r="B34" s="469"/>
      <c r="C34" s="18">
        <v>26</v>
      </c>
      <c r="D34" s="27">
        <f t="shared" si="1"/>
        <v>0</v>
      </c>
      <c r="E34" s="17" t="e">
        <f t="shared" si="2"/>
        <v>#NUM!</v>
      </c>
      <c r="F34" s="17" t="e">
        <f t="shared" si="0"/>
        <v>#NUM!</v>
      </c>
      <c r="G34" s="25">
        <f>IF(G33&lt;0.1,0,$E$4-SUM($E$9:E34))</f>
        <v>0</v>
      </c>
      <c r="H34" s="467"/>
      <c r="I34" s="33"/>
    </row>
    <row r="35" spans="1:9" ht="13.5">
      <c r="A35" s="33"/>
      <c r="B35" s="469"/>
      <c r="C35" s="18">
        <v>27</v>
      </c>
      <c r="D35" s="27">
        <f t="shared" si="1"/>
        <v>0</v>
      </c>
      <c r="E35" s="17" t="e">
        <f t="shared" si="2"/>
        <v>#NUM!</v>
      </c>
      <c r="F35" s="17" t="e">
        <f t="shared" si="0"/>
        <v>#NUM!</v>
      </c>
      <c r="G35" s="25">
        <f>IF(G34&lt;0.1,0,$E$4-SUM($E$9:E35))</f>
        <v>0</v>
      </c>
      <c r="H35" s="467"/>
      <c r="I35" s="33"/>
    </row>
    <row r="36" spans="1:9" ht="13.5">
      <c r="A36" s="33"/>
      <c r="B36" s="469"/>
      <c r="C36" s="18">
        <v>28</v>
      </c>
      <c r="D36" s="27">
        <f t="shared" si="1"/>
        <v>0</v>
      </c>
      <c r="E36" s="17" t="e">
        <f t="shared" si="2"/>
        <v>#NUM!</v>
      </c>
      <c r="F36" s="17" t="e">
        <f t="shared" si="0"/>
        <v>#NUM!</v>
      </c>
      <c r="G36" s="25">
        <f>IF(G35&lt;0.1,0,$E$4-SUM($E$9:E36))</f>
        <v>0</v>
      </c>
      <c r="H36" s="467"/>
      <c r="I36" s="33"/>
    </row>
    <row r="37" spans="1:9" ht="13.5">
      <c r="A37" s="33"/>
      <c r="B37" s="469"/>
      <c r="C37" s="18">
        <v>29</v>
      </c>
      <c r="D37" s="27">
        <f t="shared" si="1"/>
        <v>0</v>
      </c>
      <c r="E37" s="17" t="e">
        <f t="shared" si="2"/>
        <v>#NUM!</v>
      </c>
      <c r="F37" s="17" t="e">
        <f t="shared" si="0"/>
        <v>#NUM!</v>
      </c>
      <c r="G37" s="25">
        <f>IF(G36&lt;0.1,0,$E$4-SUM($E$9:E37))</f>
        <v>0</v>
      </c>
      <c r="H37" s="467"/>
      <c r="I37" s="33"/>
    </row>
    <row r="38" spans="1:9" ht="13.5">
      <c r="A38" s="33"/>
      <c r="B38" s="469"/>
      <c r="C38" s="18">
        <v>30</v>
      </c>
      <c r="D38" s="27">
        <f t="shared" si="1"/>
        <v>0</v>
      </c>
      <c r="E38" s="17" t="e">
        <f t="shared" si="2"/>
        <v>#NUM!</v>
      </c>
      <c r="F38" s="17" t="e">
        <f t="shared" si="0"/>
        <v>#NUM!</v>
      </c>
      <c r="G38" s="25">
        <f>IF(G37&lt;0.1,0,$E$4-SUM($E$9:E38))</f>
        <v>0</v>
      </c>
      <c r="H38" s="467"/>
      <c r="I38" s="33"/>
    </row>
    <row r="39" spans="1:9" ht="13.5">
      <c r="A39" s="33"/>
      <c r="B39" s="469"/>
      <c r="C39" s="18">
        <v>31</v>
      </c>
      <c r="D39" s="27">
        <f t="shared" si="1"/>
        <v>0</v>
      </c>
      <c r="E39" s="17" t="e">
        <f t="shared" si="2"/>
        <v>#NUM!</v>
      </c>
      <c r="F39" s="17" t="e">
        <f t="shared" si="0"/>
        <v>#NUM!</v>
      </c>
      <c r="G39" s="25">
        <f>IF(G38&lt;0.1,0,$E$4-SUM($E$9:E39))</f>
        <v>0</v>
      </c>
      <c r="H39" s="467"/>
      <c r="I39" s="33"/>
    </row>
    <row r="40" spans="1:9" ht="13.5">
      <c r="A40" s="33"/>
      <c r="B40" s="469"/>
      <c r="C40" s="18">
        <v>32</v>
      </c>
      <c r="D40" s="27">
        <f t="shared" si="1"/>
        <v>0</v>
      </c>
      <c r="E40" s="17" t="e">
        <f t="shared" si="2"/>
        <v>#NUM!</v>
      </c>
      <c r="F40" s="17" t="e">
        <f t="shared" si="0"/>
        <v>#NUM!</v>
      </c>
      <c r="G40" s="25">
        <f>IF(G39&lt;0.1,0,$E$4-SUM($E$9:E40))</f>
        <v>0</v>
      </c>
      <c r="H40" s="467"/>
      <c r="I40" s="33"/>
    </row>
    <row r="41" spans="1:9" ht="13.5">
      <c r="A41" s="33"/>
      <c r="B41" s="469"/>
      <c r="C41" s="18">
        <v>33</v>
      </c>
      <c r="D41" s="27">
        <f t="shared" si="1"/>
        <v>0</v>
      </c>
      <c r="E41" s="17" t="e">
        <f t="shared" si="2"/>
        <v>#NUM!</v>
      </c>
      <c r="F41" s="17" t="e">
        <f t="shared" si="0"/>
        <v>#NUM!</v>
      </c>
      <c r="G41" s="25">
        <f>IF(G40&lt;0.1,0,$E$4-SUM($E$9:E41))</f>
        <v>0</v>
      </c>
      <c r="H41" s="467"/>
      <c r="I41" s="33"/>
    </row>
    <row r="42" spans="1:9" ht="13.5">
      <c r="A42" s="33"/>
      <c r="B42" s="469"/>
      <c r="C42" s="18">
        <v>34</v>
      </c>
      <c r="D42" s="27">
        <f t="shared" si="1"/>
        <v>0</v>
      </c>
      <c r="E42" s="17" t="e">
        <f t="shared" si="2"/>
        <v>#NUM!</v>
      </c>
      <c r="F42" s="17" t="e">
        <f t="shared" si="0"/>
        <v>#NUM!</v>
      </c>
      <c r="G42" s="25">
        <f>IF(G41&lt;0.1,0,$E$4-SUM($E$9:E42))</f>
        <v>0</v>
      </c>
      <c r="H42" s="467"/>
      <c r="I42" s="33"/>
    </row>
    <row r="43" spans="1:9" ht="13.5">
      <c r="A43" s="33"/>
      <c r="B43" s="469"/>
      <c r="C43" s="18">
        <v>35</v>
      </c>
      <c r="D43" s="27">
        <f t="shared" si="1"/>
        <v>0</v>
      </c>
      <c r="E43" s="17" t="e">
        <f t="shared" si="2"/>
        <v>#NUM!</v>
      </c>
      <c r="F43" s="17" t="e">
        <f t="shared" si="0"/>
        <v>#NUM!</v>
      </c>
      <c r="G43" s="25">
        <f>IF(G42&lt;0.1,0,$E$4-SUM($E$9:E43))</f>
        <v>0</v>
      </c>
      <c r="H43" s="467"/>
      <c r="I43" s="33"/>
    </row>
    <row r="44" spans="1:9" ht="14.25" thickBot="1">
      <c r="A44" s="33"/>
      <c r="B44" s="469"/>
      <c r="C44" s="18">
        <v>36</v>
      </c>
      <c r="D44" s="27">
        <f t="shared" si="1"/>
        <v>0</v>
      </c>
      <c r="E44" s="17" t="e">
        <f t="shared" si="2"/>
        <v>#NUM!</v>
      </c>
      <c r="F44" s="17" t="e">
        <f t="shared" si="0"/>
        <v>#NUM!</v>
      </c>
      <c r="G44" s="25">
        <f>IF(G43&lt;0.1,0,$E$4-SUM($E$9:E44))</f>
        <v>0</v>
      </c>
      <c r="H44" s="468"/>
      <c r="I44" s="33"/>
    </row>
    <row r="45" spans="1:9" ht="13.5">
      <c r="A45" s="33"/>
      <c r="B45" s="469" t="s">
        <v>134</v>
      </c>
      <c r="C45" s="18">
        <v>37</v>
      </c>
      <c r="D45" s="27">
        <f t="shared" si="1"/>
        <v>0</v>
      </c>
      <c r="E45" s="17" t="e">
        <f t="shared" si="2"/>
        <v>#NUM!</v>
      </c>
      <c r="F45" s="17" t="e">
        <f t="shared" si="0"/>
        <v>#NUM!</v>
      </c>
      <c r="G45" s="25">
        <f>IF(G44&lt;0.1,0,$E$4-SUM($E$9:E45))</f>
        <v>0</v>
      </c>
      <c r="H45" s="466">
        <f>+G56</f>
        <v>0</v>
      </c>
      <c r="I45" s="33"/>
    </row>
    <row r="46" spans="1:9" ht="13.5">
      <c r="A46" s="33"/>
      <c r="B46" s="469"/>
      <c r="C46" s="18">
        <v>38</v>
      </c>
      <c r="D46" s="27">
        <f t="shared" si="1"/>
        <v>0</v>
      </c>
      <c r="E46" s="17" t="e">
        <f t="shared" si="2"/>
        <v>#NUM!</v>
      </c>
      <c r="F46" s="17" t="e">
        <f t="shared" si="0"/>
        <v>#NUM!</v>
      </c>
      <c r="G46" s="25">
        <f>IF(G45&lt;0.1,0,$E$4-SUM($E$9:E46))</f>
        <v>0</v>
      </c>
      <c r="H46" s="467"/>
      <c r="I46" s="33"/>
    </row>
    <row r="47" spans="1:9" ht="13.5">
      <c r="A47" s="33"/>
      <c r="B47" s="469"/>
      <c r="C47" s="18">
        <v>39</v>
      </c>
      <c r="D47" s="27">
        <f t="shared" si="1"/>
        <v>0</v>
      </c>
      <c r="E47" s="17" t="e">
        <f t="shared" si="2"/>
        <v>#NUM!</v>
      </c>
      <c r="F47" s="17" t="e">
        <f t="shared" si="0"/>
        <v>#NUM!</v>
      </c>
      <c r="G47" s="25">
        <f>IF(G46&lt;0.1,0,$E$4-SUM($E$9:E47))</f>
        <v>0</v>
      </c>
      <c r="H47" s="467"/>
      <c r="I47" s="33"/>
    </row>
    <row r="48" spans="1:9" ht="13.5">
      <c r="A48" s="33"/>
      <c r="B48" s="469"/>
      <c r="C48" s="18">
        <v>40</v>
      </c>
      <c r="D48" s="27">
        <f t="shared" si="1"/>
        <v>0</v>
      </c>
      <c r="E48" s="17" t="e">
        <f t="shared" si="2"/>
        <v>#NUM!</v>
      </c>
      <c r="F48" s="17" t="e">
        <f t="shared" si="0"/>
        <v>#NUM!</v>
      </c>
      <c r="G48" s="25">
        <f>IF(G47&lt;0.1,0,$E$4-SUM($E$9:E48))</f>
        <v>0</v>
      </c>
      <c r="H48" s="467"/>
      <c r="I48" s="33"/>
    </row>
    <row r="49" spans="1:9" ht="13.5">
      <c r="A49" s="33"/>
      <c r="B49" s="469"/>
      <c r="C49" s="18">
        <v>41</v>
      </c>
      <c r="D49" s="27">
        <f t="shared" si="1"/>
        <v>0</v>
      </c>
      <c r="E49" s="17" t="e">
        <f t="shared" si="2"/>
        <v>#NUM!</v>
      </c>
      <c r="F49" s="17" t="e">
        <f t="shared" si="0"/>
        <v>#NUM!</v>
      </c>
      <c r="G49" s="25">
        <f>IF(G48&lt;0.1,0,$E$4-SUM($E$9:E49))</f>
        <v>0</v>
      </c>
      <c r="H49" s="467"/>
      <c r="I49" s="33"/>
    </row>
    <row r="50" spans="1:9" ht="13.5">
      <c r="A50" s="33"/>
      <c r="B50" s="469"/>
      <c r="C50" s="18">
        <v>42</v>
      </c>
      <c r="D50" s="27">
        <f t="shared" si="1"/>
        <v>0</v>
      </c>
      <c r="E50" s="17" t="e">
        <f t="shared" si="2"/>
        <v>#NUM!</v>
      </c>
      <c r="F50" s="17" t="e">
        <f t="shared" si="0"/>
        <v>#NUM!</v>
      </c>
      <c r="G50" s="25">
        <f>IF(G49&lt;0.1,0,$E$4-SUM($E$9:E50))</f>
        <v>0</v>
      </c>
      <c r="H50" s="467"/>
      <c r="I50" s="33"/>
    </row>
    <row r="51" spans="1:9" ht="13.5">
      <c r="A51" s="33"/>
      <c r="B51" s="469"/>
      <c r="C51" s="18">
        <v>43</v>
      </c>
      <c r="D51" s="27">
        <f t="shared" si="1"/>
        <v>0</v>
      </c>
      <c r="E51" s="17" t="e">
        <f t="shared" si="2"/>
        <v>#NUM!</v>
      </c>
      <c r="F51" s="17" t="e">
        <f t="shared" si="0"/>
        <v>#NUM!</v>
      </c>
      <c r="G51" s="25">
        <f>IF(G50&lt;0.1,0,$E$4-SUM($E$9:E51))</f>
        <v>0</v>
      </c>
      <c r="H51" s="467"/>
      <c r="I51" s="33"/>
    </row>
    <row r="52" spans="1:9" ht="13.5">
      <c r="A52" s="33"/>
      <c r="B52" s="469"/>
      <c r="C52" s="18">
        <v>44</v>
      </c>
      <c r="D52" s="27">
        <f t="shared" si="1"/>
        <v>0</v>
      </c>
      <c r="E52" s="17" t="e">
        <f t="shared" si="2"/>
        <v>#NUM!</v>
      </c>
      <c r="F52" s="17" t="e">
        <f t="shared" si="0"/>
        <v>#NUM!</v>
      </c>
      <c r="G52" s="25">
        <f>IF(G51&lt;0.1,0,$E$4-SUM($E$9:E52))</f>
        <v>0</v>
      </c>
      <c r="H52" s="467"/>
      <c r="I52" s="33"/>
    </row>
    <row r="53" spans="1:9" ht="13.5">
      <c r="A53" s="33"/>
      <c r="B53" s="469"/>
      <c r="C53" s="18">
        <v>45</v>
      </c>
      <c r="D53" s="27">
        <f t="shared" si="1"/>
        <v>0</v>
      </c>
      <c r="E53" s="17" t="e">
        <f t="shared" si="2"/>
        <v>#NUM!</v>
      </c>
      <c r="F53" s="17" t="e">
        <f t="shared" si="0"/>
        <v>#NUM!</v>
      </c>
      <c r="G53" s="25">
        <f>IF(G52&lt;0.1,0,$E$4-SUM($E$9:E53))</f>
        <v>0</v>
      </c>
      <c r="H53" s="467"/>
      <c r="I53" s="33"/>
    </row>
    <row r="54" spans="1:9" ht="13.5">
      <c r="A54" s="33"/>
      <c r="B54" s="469"/>
      <c r="C54" s="18">
        <v>46</v>
      </c>
      <c r="D54" s="27">
        <f t="shared" si="1"/>
        <v>0</v>
      </c>
      <c r="E54" s="17" t="e">
        <f t="shared" si="2"/>
        <v>#NUM!</v>
      </c>
      <c r="F54" s="17" t="e">
        <f t="shared" si="0"/>
        <v>#NUM!</v>
      </c>
      <c r="G54" s="25">
        <f>IF(G53&lt;0.1,0,$E$4-SUM($E$9:E54))</f>
        <v>0</v>
      </c>
      <c r="H54" s="467"/>
      <c r="I54" s="33"/>
    </row>
    <row r="55" spans="1:9" ht="13.5">
      <c r="A55" s="33"/>
      <c r="B55" s="469"/>
      <c r="C55" s="18">
        <v>47</v>
      </c>
      <c r="D55" s="27">
        <f t="shared" si="1"/>
        <v>0</v>
      </c>
      <c r="E55" s="17" t="e">
        <f t="shared" si="2"/>
        <v>#NUM!</v>
      </c>
      <c r="F55" s="17" t="e">
        <f t="shared" si="0"/>
        <v>#NUM!</v>
      </c>
      <c r="G55" s="25">
        <f>IF(G54&lt;0.1,0,$E$4-SUM($E$9:E55))</f>
        <v>0</v>
      </c>
      <c r="H55" s="467"/>
      <c r="I55" s="33"/>
    </row>
    <row r="56" spans="1:9" ht="14.25" thickBot="1">
      <c r="A56" s="33"/>
      <c r="B56" s="469"/>
      <c r="C56" s="18">
        <v>48</v>
      </c>
      <c r="D56" s="27">
        <f t="shared" si="1"/>
        <v>0</v>
      </c>
      <c r="E56" s="17" t="e">
        <f t="shared" si="2"/>
        <v>#NUM!</v>
      </c>
      <c r="F56" s="17" t="e">
        <f t="shared" si="0"/>
        <v>#NUM!</v>
      </c>
      <c r="G56" s="25">
        <f>IF(G55&lt;0.1,0,$E$4-SUM($E$9:E56))</f>
        <v>0</v>
      </c>
      <c r="H56" s="468"/>
      <c r="I56" s="33"/>
    </row>
    <row r="57" spans="1:9" ht="13.5">
      <c r="A57" s="33"/>
      <c r="B57" s="469" t="s">
        <v>135</v>
      </c>
      <c r="C57" s="18">
        <v>49</v>
      </c>
      <c r="D57" s="27">
        <f t="shared" si="1"/>
        <v>0</v>
      </c>
      <c r="E57" s="17" t="e">
        <f t="shared" si="2"/>
        <v>#NUM!</v>
      </c>
      <c r="F57" s="17" t="e">
        <f t="shared" si="0"/>
        <v>#NUM!</v>
      </c>
      <c r="G57" s="25">
        <f>IF(G56&lt;0.1,0,$E$4-SUM($E$9:E57))</f>
        <v>0</v>
      </c>
      <c r="H57" s="466">
        <f>+G68</f>
        <v>0</v>
      </c>
      <c r="I57" s="33"/>
    </row>
    <row r="58" spans="1:9" ht="13.5">
      <c r="A58" s="33"/>
      <c r="B58" s="469"/>
      <c r="C58" s="18">
        <v>50</v>
      </c>
      <c r="D58" s="27">
        <f t="shared" si="1"/>
        <v>0</v>
      </c>
      <c r="E58" s="17" t="e">
        <f t="shared" si="2"/>
        <v>#NUM!</v>
      </c>
      <c r="F58" s="17" t="e">
        <f t="shared" si="0"/>
        <v>#NUM!</v>
      </c>
      <c r="G58" s="25">
        <f>IF(G57&lt;0.1,0,$E$4-SUM($E$9:E58))</f>
        <v>0</v>
      </c>
      <c r="H58" s="467"/>
      <c r="I58" s="33"/>
    </row>
    <row r="59" spans="1:9" ht="13.5">
      <c r="A59" s="33"/>
      <c r="B59" s="469"/>
      <c r="C59" s="18">
        <v>51</v>
      </c>
      <c r="D59" s="27">
        <f t="shared" si="1"/>
        <v>0</v>
      </c>
      <c r="E59" s="17" t="e">
        <f t="shared" si="2"/>
        <v>#NUM!</v>
      </c>
      <c r="F59" s="17" t="e">
        <f t="shared" si="0"/>
        <v>#NUM!</v>
      </c>
      <c r="G59" s="25">
        <f>IF(G58&lt;0.1,0,$E$4-SUM($E$9:E59))</f>
        <v>0</v>
      </c>
      <c r="H59" s="467"/>
      <c r="I59" s="33"/>
    </row>
    <row r="60" spans="1:9" ht="13.5">
      <c r="A60" s="33"/>
      <c r="B60" s="469"/>
      <c r="C60" s="18">
        <v>52</v>
      </c>
      <c r="D60" s="27">
        <f t="shared" si="1"/>
        <v>0</v>
      </c>
      <c r="E60" s="17" t="e">
        <f t="shared" si="2"/>
        <v>#NUM!</v>
      </c>
      <c r="F60" s="17" t="e">
        <f t="shared" si="0"/>
        <v>#NUM!</v>
      </c>
      <c r="G60" s="25">
        <f>IF(G59&lt;0.1,0,$E$4-SUM($E$9:E60))</f>
        <v>0</v>
      </c>
      <c r="H60" s="467"/>
      <c r="I60" s="33"/>
    </row>
    <row r="61" spans="1:9" ht="13.5">
      <c r="A61" s="33"/>
      <c r="B61" s="469"/>
      <c r="C61" s="18">
        <v>53</v>
      </c>
      <c r="D61" s="27">
        <f t="shared" si="1"/>
        <v>0</v>
      </c>
      <c r="E61" s="17" t="e">
        <f t="shared" si="2"/>
        <v>#NUM!</v>
      </c>
      <c r="F61" s="17" t="e">
        <f t="shared" si="0"/>
        <v>#NUM!</v>
      </c>
      <c r="G61" s="25">
        <f>IF(G60&lt;0.1,0,$E$4-SUM($E$9:E61))</f>
        <v>0</v>
      </c>
      <c r="H61" s="467"/>
      <c r="I61" s="33"/>
    </row>
    <row r="62" spans="1:9" ht="13.5">
      <c r="A62" s="33"/>
      <c r="B62" s="469"/>
      <c r="C62" s="18">
        <v>54</v>
      </c>
      <c r="D62" s="27">
        <f t="shared" si="1"/>
        <v>0</v>
      </c>
      <c r="E62" s="17" t="e">
        <f t="shared" si="2"/>
        <v>#NUM!</v>
      </c>
      <c r="F62" s="17" t="e">
        <f t="shared" si="0"/>
        <v>#NUM!</v>
      </c>
      <c r="G62" s="25">
        <f>IF(G61&lt;0.1,0,$E$4-SUM($E$9:E62))</f>
        <v>0</v>
      </c>
      <c r="H62" s="467"/>
      <c r="I62" s="33"/>
    </row>
    <row r="63" spans="1:9" ht="13.5">
      <c r="A63" s="33"/>
      <c r="B63" s="469"/>
      <c r="C63" s="18">
        <v>55</v>
      </c>
      <c r="D63" s="27">
        <f t="shared" si="1"/>
        <v>0</v>
      </c>
      <c r="E63" s="17" t="e">
        <f t="shared" si="2"/>
        <v>#NUM!</v>
      </c>
      <c r="F63" s="17" t="e">
        <f t="shared" si="0"/>
        <v>#NUM!</v>
      </c>
      <c r="G63" s="25">
        <f>IF(G62&lt;0.1,0,$E$4-SUM($E$9:E63))</f>
        <v>0</v>
      </c>
      <c r="H63" s="467"/>
      <c r="I63" s="33"/>
    </row>
    <row r="64" spans="1:9" ht="13.5">
      <c r="A64" s="33"/>
      <c r="B64" s="469"/>
      <c r="C64" s="18">
        <v>56</v>
      </c>
      <c r="D64" s="27">
        <f t="shared" si="1"/>
        <v>0</v>
      </c>
      <c r="E64" s="17" t="e">
        <f t="shared" si="2"/>
        <v>#NUM!</v>
      </c>
      <c r="F64" s="17" t="e">
        <f t="shared" si="0"/>
        <v>#NUM!</v>
      </c>
      <c r="G64" s="25">
        <f>IF(G63&lt;0.1,0,$E$4-SUM($E$9:E64))</f>
        <v>0</v>
      </c>
      <c r="H64" s="467"/>
      <c r="I64" s="33"/>
    </row>
    <row r="65" spans="1:9" ht="13.5">
      <c r="A65" s="33"/>
      <c r="B65" s="469"/>
      <c r="C65" s="18">
        <v>57</v>
      </c>
      <c r="D65" s="27">
        <f t="shared" si="1"/>
        <v>0</v>
      </c>
      <c r="E65" s="17" t="e">
        <f t="shared" si="2"/>
        <v>#NUM!</v>
      </c>
      <c r="F65" s="17" t="e">
        <f t="shared" si="0"/>
        <v>#NUM!</v>
      </c>
      <c r="G65" s="25">
        <f>IF(G64&lt;0.1,0,$E$4-SUM($E$9:E65))</f>
        <v>0</v>
      </c>
      <c r="H65" s="467"/>
      <c r="I65" s="33"/>
    </row>
    <row r="66" spans="1:9" ht="13.5">
      <c r="A66" s="33"/>
      <c r="B66" s="469"/>
      <c r="C66" s="18">
        <v>58</v>
      </c>
      <c r="D66" s="27">
        <f t="shared" si="1"/>
        <v>0</v>
      </c>
      <c r="E66" s="17" t="e">
        <f t="shared" si="2"/>
        <v>#NUM!</v>
      </c>
      <c r="F66" s="17" t="e">
        <f t="shared" si="0"/>
        <v>#NUM!</v>
      </c>
      <c r="G66" s="25">
        <f>IF(G65&lt;0.1,0,$E$4-SUM($E$9:E66))</f>
        <v>0</v>
      </c>
      <c r="H66" s="467"/>
      <c r="I66" s="33"/>
    </row>
    <row r="67" spans="1:9" ht="13.5">
      <c r="A67" s="33"/>
      <c r="B67" s="469"/>
      <c r="C67" s="18">
        <v>59</v>
      </c>
      <c r="D67" s="27">
        <f t="shared" si="1"/>
        <v>0</v>
      </c>
      <c r="E67" s="17" t="e">
        <f t="shared" si="2"/>
        <v>#NUM!</v>
      </c>
      <c r="F67" s="17" t="e">
        <f t="shared" si="0"/>
        <v>#NUM!</v>
      </c>
      <c r="G67" s="25">
        <f>IF(G66&lt;0.1,0,$E$4-SUM($E$9:E67))</f>
        <v>0</v>
      </c>
      <c r="H67" s="467"/>
      <c r="I67" s="33"/>
    </row>
    <row r="68" spans="1:9" ht="14.25" thickBot="1">
      <c r="A68" s="33"/>
      <c r="B68" s="469"/>
      <c r="C68" s="18">
        <v>60</v>
      </c>
      <c r="D68" s="27">
        <f t="shared" si="1"/>
        <v>0</v>
      </c>
      <c r="E68" s="17" t="e">
        <f t="shared" si="2"/>
        <v>#NUM!</v>
      </c>
      <c r="F68" s="17" t="e">
        <f t="shared" si="0"/>
        <v>#NUM!</v>
      </c>
      <c r="G68" s="25">
        <f>IF(G67&lt;0.1,0,$E$4-SUM($E$9:E68))</f>
        <v>0</v>
      </c>
      <c r="H68" s="468"/>
      <c r="I68" s="33"/>
    </row>
    <row r="69" spans="1:9" ht="13.5">
      <c r="A69" s="33"/>
      <c r="B69" s="469" t="s">
        <v>136</v>
      </c>
      <c r="C69" s="18">
        <v>61</v>
      </c>
      <c r="D69" s="27">
        <f>IF(G68&lt;0.1,0,$E$7)</f>
        <v>0</v>
      </c>
      <c r="E69" s="17" t="e">
        <f t="shared" si="2"/>
        <v>#NUM!</v>
      </c>
      <c r="F69" s="17" t="e">
        <f t="shared" si="0"/>
        <v>#NUM!</v>
      </c>
      <c r="G69" s="25">
        <f>IF(G68&lt;0.1,0,$E$4-SUM($E$9:E69))</f>
        <v>0</v>
      </c>
      <c r="H69" s="466">
        <f>+G80</f>
        <v>0</v>
      </c>
      <c r="I69" s="33"/>
    </row>
    <row r="70" spans="1:9" ht="13.5">
      <c r="A70" s="33"/>
      <c r="B70" s="469"/>
      <c r="C70" s="18">
        <v>62</v>
      </c>
      <c r="D70" s="27">
        <f t="shared" si="1"/>
        <v>0</v>
      </c>
      <c r="E70" s="17" t="e">
        <f t="shared" si="2"/>
        <v>#NUM!</v>
      </c>
      <c r="F70" s="17" t="e">
        <f t="shared" si="0"/>
        <v>#NUM!</v>
      </c>
      <c r="G70" s="25">
        <f>IF(G69&lt;0.1,0,$E$4-SUM($E$9:E70))</f>
        <v>0</v>
      </c>
      <c r="H70" s="467"/>
      <c r="I70" s="33"/>
    </row>
    <row r="71" spans="1:9" ht="13.5">
      <c r="A71" s="33"/>
      <c r="B71" s="469"/>
      <c r="C71" s="18">
        <v>63</v>
      </c>
      <c r="D71" s="27">
        <f t="shared" si="1"/>
        <v>0</v>
      </c>
      <c r="E71" s="17" t="e">
        <f t="shared" si="2"/>
        <v>#NUM!</v>
      </c>
      <c r="F71" s="17" t="e">
        <f t="shared" si="0"/>
        <v>#NUM!</v>
      </c>
      <c r="G71" s="25">
        <f>IF(G70&lt;0.1,0,$E$4-SUM($E$9:E71))</f>
        <v>0</v>
      </c>
      <c r="H71" s="467"/>
      <c r="I71" s="33"/>
    </row>
    <row r="72" spans="1:9" ht="13.5">
      <c r="A72" s="33"/>
      <c r="B72" s="469"/>
      <c r="C72" s="18">
        <v>64</v>
      </c>
      <c r="D72" s="27">
        <f t="shared" si="1"/>
        <v>0</v>
      </c>
      <c r="E72" s="17" t="e">
        <f t="shared" si="2"/>
        <v>#NUM!</v>
      </c>
      <c r="F72" s="17" t="e">
        <f t="shared" si="0"/>
        <v>#NUM!</v>
      </c>
      <c r="G72" s="25">
        <f>IF(G71&lt;0.1,0,$E$4-SUM($E$9:E72))</f>
        <v>0</v>
      </c>
      <c r="H72" s="467"/>
      <c r="I72" s="33"/>
    </row>
    <row r="73" spans="1:9" ht="13.5">
      <c r="A73" s="33"/>
      <c r="B73" s="469"/>
      <c r="C73" s="18">
        <v>65</v>
      </c>
      <c r="D73" s="27">
        <f t="shared" si="1"/>
        <v>0</v>
      </c>
      <c r="E73" s="17" t="e">
        <f t="shared" si="2"/>
        <v>#NUM!</v>
      </c>
      <c r="F73" s="17" t="e">
        <f t="shared" si="0"/>
        <v>#NUM!</v>
      </c>
      <c r="G73" s="25">
        <f>IF(G72&lt;0.1,0,$E$4-SUM($E$9:E73))</f>
        <v>0</v>
      </c>
      <c r="H73" s="467"/>
      <c r="I73" s="33"/>
    </row>
    <row r="74" spans="1:9" ht="13.5">
      <c r="A74" s="33"/>
      <c r="B74" s="469"/>
      <c r="C74" s="18">
        <v>66</v>
      </c>
      <c r="D74" s="27">
        <f t="shared" si="1"/>
        <v>0</v>
      </c>
      <c r="E74" s="17" t="e">
        <f aca="true" t="shared" si="3" ref="E74:E137">-PPMT($G$4/12,$C74,$H$4,$E$4)</f>
        <v>#NUM!</v>
      </c>
      <c r="F74" s="17" t="e">
        <f aca="true" t="shared" si="4" ref="F74:F137">-IPMT($G$4/12,$C74,$H$4,$E$4)</f>
        <v>#NUM!</v>
      </c>
      <c r="G74" s="25">
        <f>IF(G73&lt;0.1,0,$E$4-SUM($E$9:E74))</f>
        <v>0</v>
      </c>
      <c r="H74" s="467"/>
      <c r="I74" s="33"/>
    </row>
    <row r="75" spans="1:9" ht="13.5">
      <c r="A75" s="33"/>
      <c r="B75" s="469"/>
      <c r="C75" s="18">
        <v>67</v>
      </c>
      <c r="D75" s="27">
        <f aca="true" t="shared" si="5" ref="D75:D138">IF(G74&lt;0.1,0,$E$7)</f>
        <v>0</v>
      </c>
      <c r="E75" s="17" t="e">
        <f t="shared" si="3"/>
        <v>#NUM!</v>
      </c>
      <c r="F75" s="17" t="e">
        <f t="shared" si="4"/>
        <v>#NUM!</v>
      </c>
      <c r="G75" s="25">
        <f>IF(G74&lt;0.1,0,$E$4-SUM($E$9:E75))</f>
        <v>0</v>
      </c>
      <c r="H75" s="467"/>
      <c r="I75" s="33"/>
    </row>
    <row r="76" spans="1:9" ht="13.5">
      <c r="A76" s="33"/>
      <c r="B76" s="469"/>
      <c r="C76" s="18">
        <v>68</v>
      </c>
      <c r="D76" s="27">
        <f t="shared" si="5"/>
        <v>0</v>
      </c>
      <c r="E76" s="17" t="e">
        <f t="shared" si="3"/>
        <v>#NUM!</v>
      </c>
      <c r="F76" s="17" t="e">
        <f t="shared" si="4"/>
        <v>#NUM!</v>
      </c>
      <c r="G76" s="25">
        <f>IF(G75&lt;0.1,0,$E$4-SUM($E$9:E76))</f>
        <v>0</v>
      </c>
      <c r="H76" s="467"/>
      <c r="I76" s="33"/>
    </row>
    <row r="77" spans="1:9" ht="13.5">
      <c r="A77" s="33"/>
      <c r="B77" s="469"/>
      <c r="C77" s="18">
        <v>69</v>
      </c>
      <c r="D77" s="27">
        <f t="shared" si="5"/>
        <v>0</v>
      </c>
      <c r="E77" s="17" t="e">
        <f t="shared" si="3"/>
        <v>#NUM!</v>
      </c>
      <c r="F77" s="17" t="e">
        <f t="shared" si="4"/>
        <v>#NUM!</v>
      </c>
      <c r="G77" s="25">
        <f>IF(G76&lt;0.1,0,$E$4-SUM($E$9:E77))</f>
        <v>0</v>
      </c>
      <c r="H77" s="467"/>
      <c r="I77" s="33"/>
    </row>
    <row r="78" spans="1:9" ht="13.5">
      <c r="A78" s="33"/>
      <c r="B78" s="469"/>
      <c r="C78" s="18">
        <v>70</v>
      </c>
      <c r="D78" s="27">
        <f t="shared" si="5"/>
        <v>0</v>
      </c>
      <c r="E78" s="17" t="e">
        <f t="shared" si="3"/>
        <v>#NUM!</v>
      </c>
      <c r="F78" s="17" t="e">
        <f t="shared" si="4"/>
        <v>#NUM!</v>
      </c>
      <c r="G78" s="25">
        <f>IF(G77&lt;0.1,0,$E$4-SUM($E$9:E78))</f>
        <v>0</v>
      </c>
      <c r="H78" s="467"/>
      <c r="I78" s="33"/>
    </row>
    <row r="79" spans="1:9" ht="13.5">
      <c r="A79" s="33"/>
      <c r="B79" s="469"/>
      <c r="C79" s="18">
        <v>71</v>
      </c>
      <c r="D79" s="27">
        <f t="shared" si="5"/>
        <v>0</v>
      </c>
      <c r="E79" s="17" t="e">
        <f t="shared" si="3"/>
        <v>#NUM!</v>
      </c>
      <c r="F79" s="17" t="e">
        <f t="shared" si="4"/>
        <v>#NUM!</v>
      </c>
      <c r="G79" s="25">
        <f>IF(G78&lt;0.1,0,$E$4-SUM($E$9:E79))</f>
        <v>0</v>
      </c>
      <c r="H79" s="467"/>
      <c r="I79" s="33"/>
    </row>
    <row r="80" spans="1:9" ht="14.25" thickBot="1">
      <c r="A80" s="33"/>
      <c r="B80" s="469"/>
      <c r="C80" s="18">
        <v>72</v>
      </c>
      <c r="D80" s="27">
        <f t="shared" si="5"/>
        <v>0</v>
      </c>
      <c r="E80" s="17" t="e">
        <f t="shared" si="3"/>
        <v>#NUM!</v>
      </c>
      <c r="F80" s="17" t="e">
        <f t="shared" si="4"/>
        <v>#NUM!</v>
      </c>
      <c r="G80" s="25">
        <f>IF(G79&lt;0.1,0,$E$4-SUM($E$9:E80))</f>
        <v>0</v>
      </c>
      <c r="H80" s="468"/>
      <c r="I80" s="33"/>
    </row>
    <row r="81" spans="1:9" ht="13.5">
      <c r="A81" s="33"/>
      <c r="B81" s="469" t="s">
        <v>137</v>
      </c>
      <c r="C81" s="18">
        <v>73</v>
      </c>
      <c r="D81" s="27">
        <f t="shared" si="5"/>
        <v>0</v>
      </c>
      <c r="E81" s="17" t="e">
        <f t="shared" si="3"/>
        <v>#NUM!</v>
      </c>
      <c r="F81" s="17" t="e">
        <f t="shared" si="4"/>
        <v>#NUM!</v>
      </c>
      <c r="G81" s="25">
        <f>IF(G80&lt;0.1,0,$E$4-SUM($E$9:E81))</f>
        <v>0</v>
      </c>
      <c r="H81" s="466">
        <f>+G92</f>
        <v>0</v>
      </c>
      <c r="I81" s="33"/>
    </row>
    <row r="82" spans="1:9" ht="13.5">
      <c r="A82" s="33"/>
      <c r="B82" s="469"/>
      <c r="C82" s="18">
        <v>74</v>
      </c>
      <c r="D82" s="27">
        <f t="shared" si="5"/>
        <v>0</v>
      </c>
      <c r="E82" s="17" t="e">
        <f t="shared" si="3"/>
        <v>#NUM!</v>
      </c>
      <c r="F82" s="17" t="e">
        <f t="shared" si="4"/>
        <v>#NUM!</v>
      </c>
      <c r="G82" s="25">
        <f>IF(G81&lt;0.1,0,$E$4-SUM($E$9:E82))</f>
        <v>0</v>
      </c>
      <c r="H82" s="467"/>
      <c r="I82" s="33"/>
    </row>
    <row r="83" spans="1:9" ht="13.5">
      <c r="A83" s="33"/>
      <c r="B83" s="469"/>
      <c r="C83" s="18">
        <v>75</v>
      </c>
      <c r="D83" s="27">
        <f t="shared" si="5"/>
        <v>0</v>
      </c>
      <c r="E83" s="17" t="e">
        <f t="shared" si="3"/>
        <v>#NUM!</v>
      </c>
      <c r="F83" s="17" t="e">
        <f t="shared" si="4"/>
        <v>#NUM!</v>
      </c>
      <c r="G83" s="25">
        <f>IF(G82&lt;0.1,0,$E$4-SUM($E$9:E83))</f>
        <v>0</v>
      </c>
      <c r="H83" s="467"/>
      <c r="I83" s="33"/>
    </row>
    <row r="84" spans="1:9" ht="13.5">
      <c r="A84" s="33"/>
      <c r="B84" s="469"/>
      <c r="C84" s="18">
        <v>76</v>
      </c>
      <c r="D84" s="27">
        <f t="shared" si="5"/>
        <v>0</v>
      </c>
      <c r="E84" s="17" t="e">
        <f t="shared" si="3"/>
        <v>#NUM!</v>
      </c>
      <c r="F84" s="17" t="e">
        <f t="shared" si="4"/>
        <v>#NUM!</v>
      </c>
      <c r="G84" s="25">
        <f>IF(G83&lt;0.1,0,$E$4-SUM($E$9:E84))</f>
        <v>0</v>
      </c>
      <c r="H84" s="467"/>
      <c r="I84" s="33"/>
    </row>
    <row r="85" spans="1:9" ht="13.5">
      <c r="A85" s="33"/>
      <c r="B85" s="469"/>
      <c r="C85" s="18">
        <v>77</v>
      </c>
      <c r="D85" s="27">
        <f t="shared" si="5"/>
        <v>0</v>
      </c>
      <c r="E85" s="17" t="e">
        <f t="shared" si="3"/>
        <v>#NUM!</v>
      </c>
      <c r="F85" s="17" t="e">
        <f t="shared" si="4"/>
        <v>#NUM!</v>
      </c>
      <c r="G85" s="25">
        <f>IF(G84&lt;0.1,0,$E$4-SUM($E$9:E85))</f>
        <v>0</v>
      </c>
      <c r="H85" s="467"/>
      <c r="I85" s="33"/>
    </row>
    <row r="86" spans="1:9" ht="13.5">
      <c r="A86" s="33"/>
      <c r="B86" s="469"/>
      <c r="C86" s="18">
        <v>78</v>
      </c>
      <c r="D86" s="27">
        <f t="shared" si="5"/>
        <v>0</v>
      </c>
      <c r="E86" s="17" t="e">
        <f t="shared" si="3"/>
        <v>#NUM!</v>
      </c>
      <c r="F86" s="17" t="e">
        <f t="shared" si="4"/>
        <v>#NUM!</v>
      </c>
      <c r="G86" s="25">
        <f>IF(G85&lt;0.1,0,$E$4-SUM($E$9:E86))</f>
        <v>0</v>
      </c>
      <c r="H86" s="467"/>
      <c r="I86" s="33"/>
    </row>
    <row r="87" spans="1:9" ht="13.5">
      <c r="A87" s="33"/>
      <c r="B87" s="469"/>
      <c r="C87" s="18">
        <v>79</v>
      </c>
      <c r="D87" s="27">
        <f t="shared" si="5"/>
        <v>0</v>
      </c>
      <c r="E87" s="17" t="e">
        <f t="shared" si="3"/>
        <v>#NUM!</v>
      </c>
      <c r="F87" s="17" t="e">
        <f t="shared" si="4"/>
        <v>#NUM!</v>
      </c>
      <c r="G87" s="25">
        <f>IF(G86&lt;0.1,0,$E$4-SUM($E$9:E87))</f>
        <v>0</v>
      </c>
      <c r="H87" s="467"/>
      <c r="I87" s="33"/>
    </row>
    <row r="88" spans="1:9" ht="13.5">
      <c r="A88" s="33"/>
      <c r="B88" s="469"/>
      <c r="C88" s="18">
        <v>80</v>
      </c>
      <c r="D88" s="27">
        <f t="shared" si="5"/>
        <v>0</v>
      </c>
      <c r="E88" s="17" t="e">
        <f t="shared" si="3"/>
        <v>#NUM!</v>
      </c>
      <c r="F88" s="17" t="e">
        <f t="shared" si="4"/>
        <v>#NUM!</v>
      </c>
      <c r="G88" s="25">
        <f>IF(G87&lt;0.1,0,$E$4-SUM($E$9:E88))</f>
        <v>0</v>
      </c>
      <c r="H88" s="467"/>
      <c r="I88" s="33"/>
    </row>
    <row r="89" spans="1:9" ht="13.5">
      <c r="A89" s="33"/>
      <c r="B89" s="469"/>
      <c r="C89" s="18">
        <v>81</v>
      </c>
      <c r="D89" s="27">
        <f t="shared" si="5"/>
        <v>0</v>
      </c>
      <c r="E89" s="17" t="e">
        <f t="shared" si="3"/>
        <v>#NUM!</v>
      </c>
      <c r="F89" s="17" t="e">
        <f t="shared" si="4"/>
        <v>#NUM!</v>
      </c>
      <c r="G89" s="25">
        <f>IF(G88&lt;0.1,0,$E$4-SUM($E$9:E89))</f>
        <v>0</v>
      </c>
      <c r="H89" s="467"/>
      <c r="I89" s="33"/>
    </row>
    <row r="90" spans="1:9" ht="13.5">
      <c r="A90" s="33"/>
      <c r="B90" s="469"/>
      <c r="C90" s="18">
        <v>82</v>
      </c>
      <c r="D90" s="27">
        <f t="shared" si="5"/>
        <v>0</v>
      </c>
      <c r="E90" s="17" t="e">
        <f t="shared" si="3"/>
        <v>#NUM!</v>
      </c>
      <c r="F90" s="17" t="e">
        <f t="shared" si="4"/>
        <v>#NUM!</v>
      </c>
      <c r="G90" s="25">
        <f>IF(G89&lt;0.1,0,$E$4-SUM($E$9:E90))</f>
        <v>0</v>
      </c>
      <c r="H90" s="467"/>
      <c r="I90" s="33"/>
    </row>
    <row r="91" spans="1:9" ht="13.5">
      <c r="A91" s="33"/>
      <c r="B91" s="469"/>
      <c r="C91" s="18">
        <v>83</v>
      </c>
      <c r="D91" s="27">
        <f t="shared" si="5"/>
        <v>0</v>
      </c>
      <c r="E91" s="17" t="e">
        <f t="shared" si="3"/>
        <v>#NUM!</v>
      </c>
      <c r="F91" s="17" t="e">
        <f t="shared" si="4"/>
        <v>#NUM!</v>
      </c>
      <c r="G91" s="25">
        <f>IF(G90&lt;0.1,0,$E$4-SUM($E$9:E91))</f>
        <v>0</v>
      </c>
      <c r="H91" s="467"/>
      <c r="I91" s="33"/>
    </row>
    <row r="92" spans="1:9" ht="14.25" thickBot="1">
      <c r="A92" s="33"/>
      <c r="B92" s="469"/>
      <c r="C92" s="18">
        <v>84</v>
      </c>
      <c r="D92" s="27">
        <f t="shared" si="5"/>
        <v>0</v>
      </c>
      <c r="E92" s="17" t="e">
        <f t="shared" si="3"/>
        <v>#NUM!</v>
      </c>
      <c r="F92" s="17" t="e">
        <f t="shared" si="4"/>
        <v>#NUM!</v>
      </c>
      <c r="G92" s="25">
        <f>IF(G91&lt;0.1,0,$E$4-SUM($E$9:E92))</f>
        <v>0</v>
      </c>
      <c r="H92" s="468"/>
      <c r="I92" s="33"/>
    </row>
    <row r="93" spans="1:9" ht="13.5">
      <c r="A93" s="33"/>
      <c r="B93" s="469" t="s">
        <v>138</v>
      </c>
      <c r="C93" s="18">
        <v>85</v>
      </c>
      <c r="D93" s="27">
        <f t="shared" si="5"/>
        <v>0</v>
      </c>
      <c r="E93" s="17" t="e">
        <f t="shared" si="3"/>
        <v>#NUM!</v>
      </c>
      <c r="F93" s="17" t="e">
        <f t="shared" si="4"/>
        <v>#NUM!</v>
      </c>
      <c r="G93" s="25">
        <f>IF(G92&lt;0.1,0,$E$4-SUM($E$9:E93))</f>
        <v>0</v>
      </c>
      <c r="H93" s="466">
        <f>+G104</f>
        <v>0</v>
      </c>
      <c r="I93" s="33"/>
    </row>
    <row r="94" spans="1:9" ht="13.5">
      <c r="A94" s="33"/>
      <c r="B94" s="469"/>
      <c r="C94" s="18">
        <v>86</v>
      </c>
      <c r="D94" s="27">
        <f t="shared" si="5"/>
        <v>0</v>
      </c>
      <c r="E94" s="17" t="e">
        <f t="shared" si="3"/>
        <v>#NUM!</v>
      </c>
      <c r="F94" s="17" t="e">
        <f t="shared" si="4"/>
        <v>#NUM!</v>
      </c>
      <c r="G94" s="25">
        <f>IF(G93&lt;0.1,0,$E$4-SUM($E$9:E94))</f>
        <v>0</v>
      </c>
      <c r="H94" s="467"/>
      <c r="I94" s="33"/>
    </row>
    <row r="95" spans="1:9" ht="13.5">
      <c r="A95" s="33"/>
      <c r="B95" s="469"/>
      <c r="C95" s="18">
        <v>87</v>
      </c>
      <c r="D95" s="27">
        <f t="shared" si="5"/>
        <v>0</v>
      </c>
      <c r="E95" s="17" t="e">
        <f t="shared" si="3"/>
        <v>#NUM!</v>
      </c>
      <c r="F95" s="17" t="e">
        <f t="shared" si="4"/>
        <v>#NUM!</v>
      </c>
      <c r="G95" s="25">
        <f>IF(G94&lt;0.1,0,$E$4-SUM($E$9:E95))</f>
        <v>0</v>
      </c>
      <c r="H95" s="467"/>
      <c r="I95" s="33"/>
    </row>
    <row r="96" spans="1:9" ht="13.5">
      <c r="A96" s="33"/>
      <c r="B96" s="469"/>
      <c r="C96" s="18">
        <v>88</v>
      </c>
      <c r="D96" s="27">
        <f t="shared" si="5"/>
        <v>0</v>
      </c>
      <c r="E96" s="17" t="e">
        <f t="shared" si="3"/>
        <v>#NUM!</v>
      </c>
      <c r="F96" s="17" t="e">
        <f t="shared" si="4"/>
        <v>#NUM!</v>
      </c>
      <c r="G96" s="25">
        <f>IF(G95&lt;0.1,0,$E$4-SUM($E$9:E96))</f>
        <v>0</v>
      </c>
      <c r="H96" s="467"/>
      <c r="I96" s="33"/>
    </row>
    <row r="97" spans="1:9" ht="13.5">
      <c r="A97" s="33"/>
      <c r="B97" s="469"/>
      <c r="C97" s="18">
        <v>89</v>
      </c>
      <c r="D97" s="27">
        <f t="shared" si="5"/>
        <v>0</v>
      </c>
      <c r="E97" s="17" t="e">
        <f t="shared" si="3"/>
        <v>#NUM!</v>
      </c>
      <c r="F97" s="17" t="e">
        <f t="shared" si="4"/>
        <v>#NUM!</v>
      </c>
      <c r="G97" s="25">
        <f>IF(G96&lt;0.1,0,$E$4-SUM($E$9:E97))</f>
        <v>0</v>
      </c>
      <c r="H97" s="467"/>
      <c r="I97" s="33"/>
    </row>
    <row r="98" spans="1:9" ht="13.5">
      <c r="A98" s="33"/>
      <c r="B98" s="469"/>
      <c r="C98" s="18">
        <v>90</v>
      </c>
      <c r="D98" s="27">
        <f t="shared" si="5"/>
        <v>0</v>
      </c>
      <c r="E98" s="17" t="e">
        <f t="shared" si="3"/>
        <v>#NUM!</v>
      </c>
      <c r="F98" s="17" t="e">
        <f t="shared" si="4"/>
        <v>#NUM!</v>
      </c>
      <c r="G98" s="25">
        <f>IF(G97&lt;0.1,0,$E$4-SUM($E$9:E98))</f>
        <v>0</v>
      </c>
      <c r="H98" s="467"/>
      <c r="I98" s="33"/>
    </row>
    <row r="99" spans="1:9" ht="13.5">
      <c r="A99" s="33"/>
      <c r="B99" s="469"/>
      <c r="C99" s="18">
        <v>91</v>
      </c>
      <c r="D99" s="27">
        <f t="shared" si="5"/>
        <v>0</v>
      </c>
      <c r="E99" s="17" t="e">
        <f t="shared" si="3"/>
        <v>#NUM!</v>
      </c>
      <c r="F99" s="17" t="e">
        <f t="shared" si="4"/>
        <v>#NUM!</v>
      </c>
      <c r="G99" s="25">
        <f>IF(G98&lt;0.1,0,$E$4-SUM($E$9:E99))</f>
        <v>0</v>
      </c>
      <c r="H99" s="467"/>
      <c r="I99" s="33"/>
    </row>
    <row r="100" spans="1:9" ht="13.5">
      <c r="A100" s="33"/>
      <c r="B100" s="469"/>
      <c r="C100" s="18">
        <v>92</v>
      </c>
      <c r="D100" s="27">
        <f t="shared" si="5"/>
        <v>0</v>
      </c>
      <c r="E100" s="17" t="e">
        <f t="shared" si="3"/>
        <v>#NUM!</v>
      </c>
      <c r="F100" s="17" t="e">
        <f t="shared" si="4"/>
        <v>#NUM!</v>
      </c>
      <c r="G100" s="25">
        <f>IF(G99&lt;0.1,0,$E$4-SUM($E$9:E100))</f>
        <v>0</v>
      </c>
      <c r="H100" s="467"/>
      <c r="I100" s="33"/>
    </row>
    <row r="101" spans="1:9" ht="13.5">
      <c r="A101" s="33"/>
      <c r="B101" s="469"/>
      <c r="C101" s="18">
        <v>93</v>
      </c>
      <c r="D101" s="27">
        <f t="shared" si="5"/>
        <v>0</v>
      </c>
      <c r="E101" s="17" t="e">
        <f t="shared" si="3"/>
        <v>#NUM!</v>
      </c>
      <c r="F101" s="17" t="e">
        <f t="shared" si="4"/>
        <v>#NUM!</v>
      </c>
      <c r="G101" s="25">
        <f>IF(G100&lt;0.1,0,$E$4-SUM($E$9:E101))</f>
        <v>0</v>
      </c>
      <c r="H101" s="467"/>
      <c r="I101" s="33"/>
    </row>
    <row r="102" spans="1:9" ht="13.5">
      <c r="A102" s="33"/>
      <c r="B102" s="469"/>
      <c r="C102" s="18">
        <v>94</v>
      </c>
      <c r="D102" s="27">
        <f t="shared" si="5"/>
        <v>0</v>
      </c>
      <c r="E102" s="17" t="e">
        <f t="shared" si="3"/>
        <v>#NUM!</v>
      </c>
      <c r="F102" s="17" t="e">
        <f t="shared" si="4"/>
        <v>#NUM!</v>
      </c>
      <c r="G102" s="25">
        <f>IF(G101&lt;0.1,0,$E$4-SUM($E$9:E102))</f>
        <v>0</v>
      </c>
      <c r="H102" s="467"/>
      <c r="I102" s="33"/>
    </row>
    <row r="103" spans="1:9" ht="13.5">
      <c r="A103" s="33"/>
      <c r="B103" s="469"/>
      <c r="C103" s="18">
        <v>95</v>
      </c>
      <c r="D103" s="27">
        <f t="shared" si="5"/>
        <v>0</v>
      </c>
      <c r="E103" s="17" t="e">
        <f t="shared" si="3"/>
        <v>#NUM!</v>
      </c>
      <c r="F103" s="17" t="e">
        <f t="shared" si="4"/>
        <v>#NUM!</v>
      </c>
      <c r="G103" s="25">
        <f>IF(G102&lt;0.1,0,$E$4-SUM($E$9:E103))</f>
        <v>0</v>
      </c>
      <c r="H103" s="467"/>
      <c r="I103" s="33"/>
    </row>
    <row r="104" spans="1:9" ht="14.25" thickBot="1">
      <c r="A104" s="33"/>
      <c r="B104" s="469"/>
      <c r="C104" s="18">
        <v>96</v>
      </c>
      <c r="D104" s="27">
        <f t="shared" si="5"/>
        <v>0</v>
      </c>
      <c r="E104" s="17" t="e">
        <f t="shared" si="3"/>
        <v>#NUM!</v>
      </c>
      <c r="F104" s="17" t="e">
        <f t="shared" si="4"/>
        <v>#NUM!</v>
      </c>
      <c r="G104" s="25">
        <f>IF(G103&lt;0.1,0,$E$4-SUM($E$9:E104))</f>
        <v>0</v>
      </c>
      <c r="H104" s="468"/>
      <c r="I104" s="33"/>
    </row>
    <row r="105" spans="1:9" ht="13.5">
      <c r="A105" s="33"/>
      <c r="B105" s="469" t="s">
        <v>139</v>
      </c>
      <c r="C105" s="18">
        <v>97</v>
      </c>
      <c r="D105" s="27">
        <f t="shared" si="5"/>
        <v>0</v>
      </c>
      <c r="E105" s="17" t="e">
        <f t="shared" si="3"/>
        <v>#NUM!</v>
      </c>
      <c r="F105" s="17" t="e">
        <f t="shared" si="4"/>
        <v>#NUM!</v>
      </c>
      <c r="G105" s="25">
        <f>IF(G104&lt;0.1,0,$E$4-SUM($E$9:E105))</f>
        <v>0</v>
      </c>
      <c r="H105" s="466">
        <f>+G116</f>
        <v>0</v>
      </c>
      <c r="I105" s="33"/>
    </row>
    <row r="106" spans="1:9" ht="13.5">
      <c r="A106" s="33"/>
      <c r="B106" s="469"/>
      <c r="C106" s="18">
        <v>98</v>
      </c>
      <c r="D106" s="27">
        <f t="shared" si="5"/>
        <v>0</v>
      </c>
      <c r="E106" s="17" t="e">
        <f t="shared" si="3"/>
        <v>#NUM!</v>
      </c>
      <c r="F106" s="17" t="e">
        <f t="shared" si="4"/>
        <v>#NUM!</v>
      </c>
      <c r="G106" s="25">
        <f>IF(G105&lt;0.1,0,$E$4-SUM($E$9:E106))</f>
        <v>0</v>
      </c>
      <c r="H106" s="467"/>
      <c r="I106" s="33"/>
    </row>
    <row r="107" spans="1:9" ht="13.5">
      <c r="A107" s="33"/>
      <c r="B107" s="469"/>
      <c r="C107" s="18">
        <v>99</v>
      </c>
      <c r="D107" s="27">
        <f t="shared" si="5"/>
        <v>0</v>
      </c>
      <c r="E107" s="17" t="e">
        <f t="shared" si="3"/>
        <v>#NUM!</v>
      </c>
      <c r="F107" s="17" t="e">
        <f t="shared" si="4"/>
        <v>#NUM!</v>
      </c>
      <c r="G107" s="25">
        <f>IF(G106&lt;0.1,0,$E$4-SUM($E$9:E107))</f>
        <v>0</v>
      </c>
      <c r="H107" s="467"/>
      <c r="I107" s="33"/>
    </row>
    <row r="108" spans="1:9" ht="13.5">
      <c r="A108" s="33"/>
      <c r="B108" s="469"/>
      <c r="C108" s="18">
        <v>100</v>
      </c>
      <c r="D108" s="27">
        <f t="shared" si="5"/>
        <v>0</v>
      </c>
      <c r="E108" s="17" t="e">
        <f t="shared" si="3"/>
        <v>#NUM!</v>
      </c>
      <c r="F108" s="17" t="e">
        <f t="shared" si="4"/>
        <v>#NUM!</v>
      </c>
      <c r="G108" s="25">
        <f>IF(G107&lt;0.1,0,$E$4-SUM($E$9:E108))</f>
        <v>0</v>
      </c>
      <c r="H108" s="467"/>
      <c r="I108" s="33"/>
    </row>
    <row r="109" spans="1:9" ht="13.5">
      <c r="A109" s="33"/>
      <c r="B109" s="469"/>
      <c r="C109" s="18">
        <v>101</v>
      </c>
      <c r="D109" s="27">
        <f t="shared" si="5"/>
        <v>0</v>
      </c>
      <c r="E109" s="17" t="e">
        <f t="shared" si="3"/>
        <v>#NUM!</v>
      </c>
      <c r="F109" s="17" t="e">
        <f t="shared" si="4"/>
        <v>#NUM!</v>
      </c>
      <c r="G109" s="25">
        <f>IF(G108&lt;0.1,0,$E$4-SUM($E$9:E109))</f>
        <v>0</v>
      </c>
      <c r="H109" s="467"/>
      <c r="I109" s="33"/>
    </row>
    <row r="110" spans="1:9" ht="13.5">
      <c r="A110" s="33"/>
      <c r="B110" s="469"/>
      <c r="C110" s="18">
        <v>102</v>
      </c>
      <c r="D110" s="27">
        <f t="shared" si="5"/>
        <v>0</v>
      </c>
      <c r="E110" s="17" t="e">
        <f t="shared" si="3"/>
        <v>#NUM!</v>
      </c>
      <c r="F110" s="17" t="e">
        <f t="shared" si="4"/>
        <v>#NUM!</v>
      </c>
      <c r="G110" s="25">
        <f>IF(G109&lt;0.1,0,$E$4-SUM($E$9:E110))</f>
        <v>0</v>
      </c>
      <c r="H110" s="467"/>
      <c r="I110" s="33"/>
    </row>
    <row r="111" spans="1:9" ht="13.5">
      <c r="A111" s="33"/>
      <c r="B111" s="469"/>
      <c r="C111" s="18">
        <v>103</v>
      </c>
      <c r="D111" s="27">
        <f t="shared" si="5"/>
        <v>0</v>
      </c>
      <c r="E111" s="17" t="e">
        <f t="shared" si="3"/>
        <v>#NUM!</v>
      </c>
      <c r="F111" s="17" t="e">
        <f t="shared" si="4"/>
        <v>#NUM!</v>
      </c>
      <c r="G111" s="25">
        <f>IF(G110&lt;0.1,0,$E$4-SUM($E$9:E111))</f>
        <v>0</v>
      </c>
      <c r="H111" s="467"/>
      <c r="I111" s="33"/>
    </row>
    <row r="112" spans="1:9" ht="13.5">
      <c r="A112" s="33"/>
      <c r="B112" s="469"/>
      <c r="C112" s="18">
        <v>104</v>
      </c>
      <c r="D112" s="27">
        <f t="shared" si="5"/>
        <v>0</v>
      </c>
      <c r="E112" s="17" t="e">
        <f t="shared" si="3"/>
        <v>#NUM!</v>
      </c>
      <c r="F112" s="17" t="e">
        <f t="shared" si="4"/>
        <v>#NUM!</v>
      </c>
      <c r="G112" s="25">
        <f>IF(G111&lt;0.1,0,$E$4-SUM($E$9:E112))</f>
        <v>0</v>
      </c>
      <c r="H112" s="467"/>
      <c r="I112" s="33"/>
    </row>
    <row r="113" spans="1:9" ht="13.5">
      <c r="A113" s="33"/>
      <c r="B113" s="469"/>
      <c r="C113" s="18">
        <v>105</v>
      </c>
      <c r="D113" s="27">
        <f t="shared" si="5"/>
        <v>0</v>
      </c>
      <c r="E113" s="17" t="e">
        <f t="shared" si="3"/>
        <v>#NUM!</v>
      </c>
      <c r="F113" s="17" t="e">
        <f t="shared" si="4"/>
        <v>#NUM!</v>
      </c>
      <c r="G113" s="25">
        <f>IF(G112&lt;0.1,0,$E$4-SUM($E$9:E113))</f>
        <v>0</v>
      </c>
      <c r="H113" s="467"/>
      <c r="I113" s="33"/>
    </row>
    <row r="114" spans="1:9" ht="13.5">
      <c r="A114" s="33"/>
      <c r="B114" s="469"/>
      <c r="C114" s="18">
        <v>106</v>
      </c>
      <c r="D114" s="27">
        <f t="shared" si="5"/>
        <v>0</v>
      </c>
      <c r="E114" s="17" t="e">
        <f t="shared" si="3"/>
        <v>#NUM!</v>
      </c>
      <c r="F114" s="17" t="e">
        <f t="shared" si="4"/>
        <v>#NUM!</v>
      </c>
      <c r="G114" s="25">
        <f>IF(G113&lt;0.1,0,$E$4-SUM($E$9:E114))</f>
        <v>0</v>
      </c>
      <c r="H114" s="467"/>
      <c r="I114" s="33"/>
    </row>
    <row r="115" spans="1:9" ht="13.5">
      <c r="A115" s="33"/>
      <c r="B115" s="469"/>
      <c r="C115" s="18">
        <v>107</v>
      </c>
      <c r="D115" s="27">
        <f t="shared" si="5"/>
        <v>0</v>
      </c>
      <c r="E115" s="17" t="e">
        <f t="shared" si="3"/>
        <v>#NUM!</v>
      </c>
      <c r="F115" s="17" t="e">
        <f t="shared" si="4"/>
        <v>#NUM!</v>
      </c>
      <c r="G115" s="25">
        <f>IF(G114&lt;0.1,0,$E$4-SUM($E$9:E115))</f>
        <v>0</v>
      </c>
      <c r="H115" s="467"/>
      <c r="I115" s="33"/>
    </row>
    <row r="116" spans="1:9" ht="14.25" thickBot="1">
      <c r="A116" s="33"/>
      <c r="B116" s="469"/>
      <c r="C116" s="18">
        <v>108</v>
      </c>
      <c r="D116" s="27">
        <f t="shared" si="5"/>
        <v>0</v>
      </c>
      <c r="E116" s="17" t="e">
        <f t="shared" si="3"/>
        <v>#NUM!</v>
      </c>
      <c r="F116" s="17" t="e">
        <f t="shared" si="4"/>
        <v>#NUM!</v>
      </c>
      <c r="G116" s="25">
        <f>IF(G115&lt;0.1,0,$E$4-SUM($E$9:E116))</f>
        <v>0</v>
      </c>
      <c r="H116" s="468"/>
      <c r="I116" s="33"/>
    </row>
    <row r="117" spans="1:9" ht="13.5">
      <c r="A117" s="33"/>
      <c r="B117" s="469" t="s">
        <v>140</v>
      </c>
      <c r="C117" s="18">
        <v>109</v>
      </c>
      <c r="D117" s="27">
        <f t="shared" si="5"/>
        <v>0</v>
      </c>
      <c r="E117" s="17" t="e">
        <f t="shared" si="3"/>
        <v>#NUM!</v>
      </c>
      <c r="F117" s="17" t="e">
        <f t="shared" si="4"/>
        <v>#NUM!</v>
      </c>
      <c r="G117" s="25">
        <f>IF(G116&lt;0.1,0,$E$4-SUM($E$9:E117))</f>
        <v>0</v>
      </c>
      <c r="H117" s="466">
        <f>+G128</f>
        <v>0</v>
      </c>
      <c r="I117" s="33"/>
    </row>
    <row r="118" spans="1:9" ht="13.5">
      <c r="A118" s="33"/>
      <c r="B118" s="469"/>
      <c r="C118" s="18">
        <v>110</v>
      </c>
      <c r="D118" s="27">
        <f t="shared" si="5"/>
        <v>0</v>
      </c>
      <c r="E118" s="17" t="e">
        <f t="shared" si="3"/>
        <v>#NUM!</v>
      </c>
      <c r="F118" s="17" t="e">
        <f t="shared" si="4"/>
        <v>#NUM!</v>
      </c>
      <c r="G118" s="25">
        <f>IF(G117&lt;0.1,0,$E$4-SUM($E$9:E118))</f>
        <v>0</v>
      </c>
      <c r="H118" s="467"/>
      <c r="I118" s="33"/>
    </row>
    <row r="119" spans="1:9" ht="13.5">
      <c r="A119" s="33"/>
      <c r="B119" s="469"/>
      <c r="C119" s="18">
        <v>111</v>
      </c>
      <c r="D119" s="27">
        <f t="shared" si="5"/>
        <v>0</v>
      </c>
      <c r="E119" s="17" t="e">
        <f t="shared" si="3"/>
        <v>#NUM!</v>
      </c>
      <c r="F119" s="17" t="e">
        <f t="shared" si="4"/>
        <v>#NUM!</v>
      </c>
      <c r="G119" s="25">
        <f>IF(G118&lt;0.1,0,$E$4-SUM($E$9:E119))</f>
        <v>0</v>
      </c>
      <c r="H119" s="467"/>
      <c r="I119" s="33"/>
    </row>
    <row r="120" spans="1:9" ht="13.5">
      <c r="A120" s="33"/>
      <c r="B120" s="469"/>
      <c r="C120" s="18">
        <v>112</v>
      </c>
      <c r="D120" s="27">
        <f t="shared" si="5"/>
        <v>0</v>
      </c>
      <c r="E120" s="17" t="e">
        <f t="shared" si="3"/>
        <v>#NUM!</v>
      </c>
      <c r="F120" s="17" t="e">
        <f t="shared" si="4"/>
        <v>#NUM!</v>
      </c>
      <c r="G120" s="25">
        <f>IF(G119&lt;0.1,0,$E$4-SUM($E$9:E120))</f>
        <v>0</v>
      </c>
      <c r="H120" s="467"/>
      <c r="I120" s="33"/>
    </row>
    <row r="121" spans="1:9" ht="13.5">
      <c r="A121" s="33"/>
      <c r="B121" s="469"/>
      <c r="C121" s="18">
        <v>113</v>
      </c>
      <c r="D121" s="27">
        <f t="shared" si="5"/>
        <v>0</v>
      </c>
      <c r="E121" s="17" t="e">
        <f t="shared" si="3"/>
        <v>#NUM!</v>
      </c>
      <c r="F121" s="17" t="e">
        <f t="shared" si="4"/>
        <v>#NUM!</v>
      </c>
      <c r="G121" s="25">
        <f>IF(G120&lt;0.1,0,$E$4-SUM($E$9:E121))</f>
        <v>0</v>
      </c>
      <c r="H121" s="467"/>
      <c r="I121" s="33"/>
    </row>
    <row r="122" spans="1:9" ht="13.5">
      <c r="A122" s="33"/>
      <c r="B122" s="469"/>
      <c r="C122" s="18">
        <v>114</v>
      </c>
      <c r="D122" s="27">
        <f t="shared" si="5"/>
        <v>0</v>
      </c>
      <c r="E122" s="17" t="e">
        <f t="shared" si="3"/>
        <v>#NUM!</v>
      </c>
      <c r="F122" s="17" t="e">
        <f t="shared" si="4"/>
        <v>#NUM!</v>
      </c>
      <c r="G122" s="25">
        <f>IF(G121&lt;0.1,0,$E$4-SUM($E$9:E122))</f>
        <v>0</v>
      </c>
      <c r="H122" s="467"/>
      <c r="I122" s="33"/>
    </row>
    <row r="123" spans="1:9" ht="13.5">
      <c r="A123" s="33"/>
      <c r="B123" s="469"/>
      <c r="C123" s="18">
        <v>115</v>
      </c>
      <c r="D123" s="27">
        <f t="shared" si="5"/>
        <v>0</v>
      </c>
      <c r="E123" s="17" t="e">
        <f t="shared" si="3"/>
        <v>#NUM!</v>
      </c>
      <c r="F123" s="17" t="e">
        <f t="shared" si="4"/>
        <v>#NUM!</v>
      </c>
      <c r="G123" s="25">
        <f>IF(G122&lt;0.1,0,$E$4-SUM($E$9:E123))</f>
        <v>0</v>
      </c>
      <c r="H123" s="467"/>
      <c r="I123" s="33"/>
    </row>
    <row r="124" spans="1:9" ht="13.5">
      <c r="A124" s="33"/>
      <c r="B124" s="469"/>
      <c r="C124" s="18">
        <v>116</v>
      </c>
      <c r="D124" s="27">
        <f t="shared" si="5"/>
        <v>0</v>
      </c>
      <c r="E124" s="17" t="e">
        <f t="shared" si="3"/>
        <v>#NUM!</v>
      </c>
      <c r="F124" s="17" t="e">
        <f t="shared" si="4"/>
        <v>#NUM!</v>
      </c>
      <c r="G124" s="25">
        <f>IF(G123&lt;0.1,0,$E$4-SUM($E$9:E124))</f>
        <v>0</v>
      </c>
      <c r="H124" s="467"/>
      <c r="I124" s="33"/>
    </row>
    <row r="125" spans="1:9" ht="13.5">
      <c r="A125" s="33"/>
      <c r="B125" s="469"/>
      <c r="C125" s="18">
        <v>117</v>
      </c>
      <c r="D125" s="27">
        <f t="shared" si="5"/>
        <v>0</v>
      </c>
      <c r="E125" s="17" t="e">
        <f t="shared" si="3"/>
        <v>#NUM!</v>
      </c>
      <c r="F125" s="17" t="e">
        <f t="shared" si="4"/>
        <v>#NUM!</v>
      </c>
      <c r="G125" s="25">
        <f>IF(G124&lt;0.1,0,$E$4-SUM($E$9:E125))</f>
        <v>0</v>
      </c>
      <c r="H125" s="467"/>
      <c r="I125" s="33"/>
    </row>
    <row r="126" spans="1:9" ht="13.5">
      <c r="A126" s="33"/>
      <c r="B126" s="469"/>
      <c r="C126" s="18">
        <v>118</v>
      </c>
      <c r="D126" s="27">
        <f t="shared" si="5"/>
        <v>0</v>
      </c>
      <c r="E126" s="17" t="e">
        <f t="shared" si="3"/>
        <v>#NUM!</v>
      </c>
      <c r="F126" s="17" t="e">
        <f t="shared" si="4"/>
        <v>#NUM!</v>
      </c>
      <c r="G126" s="25">
        <f>IF(G125&lt;0.1,0,$E$4-SUM($E$9:E126))</f>
        <v>0</v>
      </c>
      <c r="H126" s="467"/>
      <c r="I126" s="33"/>
    </row>
    <row r="127" spans="1:9" ht="13.5">
      <c r="A127" s="33"/>
      <c r="B127" s="469"/>
      <c r="C127" s="18">
        <v>119</v>
      </c>
      <c r="D127" s="27">
        <f t="shared" si="5"/>
        <v>0</v>
      </c>
      <c r="E127" s="17" t="e">
        <f t="shared" si="3"/>
        <v>#NUM!</v>
      </c>
      <c r="F127" s="17" t="e">
        <f t="shared" si="4"/>
        <v>#NUM!</v>
      </c>
      <c r="G127" s="25">
        <f>IF(G126&lt;0.1,0,$E$4-SUM($E$9:E127))</f>
        <v>0</v>
      </c>
      <c r="H127" s="467"/>
      <c r="I127" s="33"/>
    </row>
    <row r="128" spans="1:9" ht="14.25" thickBot="1">
      <c r="A128" s="33"/>
      <c r="B128" s="469"/>
      <c r="C128" s="18">
        <v>120</v>
      </c>
      <c r="D128" s="27">
        <f t="shared" si="5"/>
        <v>0</v>
      </c>
      <c r="E128" s="17" t="e">
        <f t="shared" si="3"/>
        <v>#NUM!</v>
      </c>
      <c r="F128" s="17" t="e">
        <f t="shared" si="4"/>
        <v>#NUM!</v>
      </c>
      <c r="G128" s="25">
        <f>IF(G127&lt;0.1,0,$E$4-SUM($E$9:E128))</f>
        <v>0</v>
      </c>
      <c r="H128" s="468"/>
      <c r="I128" s="33"/>
    </row>
    <row r="129" spans="1:9" ht="13.5">
      <c r="A129" s="33"/>
      <c r="B129" s="469" t="s">
        <v>141</v>
      </c>
      <c r="C129" s="18">
        <v>121</v>
      </c>
      <c r="D129" s="27">
        <f t="shared" si="5"/>
        <v>0</v>
      </c>
      <c r="E129" s="17" t="e">
        <f t="shared" si="3"/>
        <v>#NUM!</v>
      </c>
      <c r="F129" s="17" t="e">
        <f t="shared" si="4"/>
        <v>#NUM!</v>
      </c>
      <c r="G129" s="25">
        <f>IF(G128&lt;0.1,0,$E$4-SUM($E$9:E129))</f>
        <v>0</v>
      </c>
      <c r="H129" s="466">
        <f>+G140</f>
        <v>0</v>
      </c>
      <c r="I129" s="33"/>
    </row>
    <row r="130" spans="1:9" ht="13.5">
      <c r="A130" s="33"/>
      <c r="B130" s="469"/>
      <c r="C130" s="18">
        <v>122</v>
      </c>
      <c r="D130" s="27">
        <f t="shared" si="5"/>
        <v>0</v>
      </c>
      <c r="E130" s="17" t="e">
        <f t="shared" si="3"/>
        <v>#NUM!</v>
      </c>
      <c r="F130" s="17" t="e">
        <f t="shared" si="4"/>
        <v>#NUM!</v>
      </c>
      <c r="G130" s="25">
        <f>IF(G129&lt;0.1,0,$E$4-SUM($E$9:E130))</f>
        <v>0</v>
      </c>
      <c r="H130" s="467"/>
      <c r="I130" s="33"/>
    </row>
    <row r="131" spans="1:9" ht="13.5">
      <c r="A131" s="33"/>
      <c r="B131" s="469"/>
      <c r="C131" s="18">
        <v>123</v>
      </c>
      <c r="D131" s="27">
        <f t="shared" si="5"/>
        <v>0</v>
      </c>
      <c r="E131" s="17" t="e">
        <f t="shared" si="3"/>
        <v>#NUM!</v>
      </c>
      <c r="F131" s="17" t="e">
        <f t="shared" si="4"/>
        <v>#NUM!</v>
      </c>
      <c r="G131" s="25">
        <f>IF(G130&lt;0.1,0,$E$4-SUM($E$9:E131))</f>
        <v>0</v>
      </c>
      <c r="H131" s="467"/>
      <c r="I131" s="33"/>
    </row>
    <row r="132" spans="1:9" ht="13.5">
      <c r="A132" s="33"/>
      <c r="B132" s="469"/>
      <c r="C132" s="18">
        <v>124</v>
      </c>
      <c r="D132" s="27">
        <f t="shared" si="5"/>
        <v>0</v>
      </c>
      <c r="E132" s="17" t="e">
        <f t="shared" si="3"/>
        <v>#NUM!</v>
      </c>
      <c r="F132" s="17" t="e">
        <f t="shared" si="4"/>
        <v>#NUM!</v>
      </c>
      <c r="G132" s="25">
        <f>IF(G131&lt;0.1,0,$E$4-SUM($E$9:E132))</f>
        <v>0</v>
      </c>
      <c r="H132" s="467"/>
      <c r="I132" s="33"/>
    </row>
    <row r="133" spans="1:9" ht="13.5">
      <c r="A133" s="33"/>
      <c r="B133" s="469"/>
      <c r="C133" s="18">
        <v>125</v>
      </c>
      <c r="D133" s="27">
        <f t="shared" si="5"/>
        <v>0</v>
      </c>
      <c r="E133" s="17" t="e">
        <f t="shared" si="3"/>
        <v>#NUM!</v>
      </c>
      <c r="F133" s="17" t="e">
        <f t="shared" si="4"/>
        <v>#NUM!</v>
      </c>
      <c r="G133" s="25">
        <f>IF(G132&lt;0.1,0,$E$4-SUM($E$9:E133))</f>
        <v>0</v>
      </c>
      <c r="H133" s="467"/>
      <c r="I133" s="33"/>
    </row>
    <row r="134" spans="1:9" ht="13.5">
      <c r="A134" s="33"/>
      <c r="B134" s="469"/>
      <c r="C134" s="18">
        <v>126</v>
      </c>
      <c r="D134" s="27">
        <f t="shared" si="5"/>
        <v>0</v>
      </c>
      <c r="E134" s="17" t="e">
        <f t="shared" si="3"/>
        <v>#NUM!</v>
      </c>
      <c r="F134" s="17" t="e">
        <f t="shared" si="4"/>
        <v>#NUM!</v>
      </c>
      <c r="G134" s="25">
        <f>IF(G133&lt;0.1,0,$E$4-SUM($E$9:E134))</f>
        <v>0</v>
      </c>
      <c r="H134" s="467"/>
      <c r="I134" s="33"/>
    </row>
    <row r="135" spans="1:9" ht="13.5">
      <c r="A135" s="33"/>
      <c r="B135" s="469"/>
      <c r="C135" s="18">
        <v>127</v>
      </c>
      <c r="D135" s="27">
        <f t="shared" si="5"/>
        <v>0</v>
      </c>
      <c r="E135" s="17" t="e">
        <f t="shared" si="3"/>
        <v>#NUM!</v>
      </c>
      <c r="F135" s="17" t="e">
        <f t="shared" si="4"/>
        <v>#NUM!</v>
      </c>
      <c r="G135" s="25">
        <f>IF(G134&lt;0.1,0,$E$4-SUM($E$9:E135))</f>
        <v>0</v>
      </c>
      <c r="H135" s="467"/>
      <c r="I135" s="33"/>
    </row>
    <row r="136" spans="1:9" ht="13.5">
      <c r="A136" s="33"/>
      <c r="B136" s="469"/>
      <c r="C136" s="18">
        <v>128</v>
      </c>
      <c r="D136" s="27">
        <f t="shared" si="5"/>
        <v>0</v>
      </c>
      <c r="E136" s="17" t="e">
        <f t="shared" si="3"/>
        <v>#NUM!</v>
      </c>
      <c r="F136" s="17" t="e">
        <f t="shared" si="4"/>
        <v>#NUM!</v>
      </c>
      <c r="G136" s="25">
        <f>IF(G135&lt;0.1,0,$E$4-SUM($E$9:E136))</f>
        <v>0</v>
      </c>
      <c r="H136" s="467"/>
      <c r="I136" s="33"/>
    </row>
    <row r="137" spans="1:9" ht="13.5">
      <c r="A137" s="33"/>
      <c r="B137" s="469"/>
      <c r="C137" s="18">
        <v>129</v>
      </c>
      <c r="D137" s="27">
        <f t="shared" si="5"/>
        <v>0</v>
      </c>
      <c r="E137" s="17" t="e">
        <f t="shared" si="3"/>
        <v>#NUM!</v>
      </c>
      <c r="F137" s="17" t="e">
        <f t="shared" si="4"/>
        <v>#NUM!</v>
      </c>
      <c r="G137" s="25">
        <f>IF(G136&lt;0.1,0,$E$4-SUM($E$9:E137))</f>
        <v>0</v>
      </c>
      <c r="H137" s="467"/>
      <c r="I137" s="33"/>
    </row>
    <row r="138" spans="1:9" ht="13.5">
      <c r="A138" s="33"/>
      <c r="B138" s="469"/>
      <c r="C138" s="18">
        <v>130</v>
      </c>
      <c r="D138" s="27">
        <f t="shared" si="5"/>
        <v>0</v>
      </c>
      <c r="E138" s="17" t="e">
        <f aca="true" t="shared" si="6" ref="E138:E201">-PPMT($G$4/12,$C138,$H$4,$E$4)</f>
        <v>#NUM!</v>
      </c>
      <c r="F138" s="17" t="e">
        <f aca="true" t="shared" si="7" ref="F138:F201">-IPMT($G$4/12,$C138,$H$4,$E$4)</f>
        <v>#NUM!</v>
      </c>
      <c r="G138" s="25">
        <f>IF(G137&lt;0.1,0,$E$4-SUM($E$9:E138))</f>
        <v>0</v>
      </c>
      <c r="H138" s="467"/>
      <c r="I138" s="33"/>
    </row>
    <row r="139" spans="1:9" ht="13.5">
      <c r="A139" s="33"/>
      <c r="B139" s="469"/>
      <c r="C139" s="18">
        <v>131</v>
      </c>
      <c r="D139" s="27">
        <f aca="true" t="shared" si="8" ref="D139:D202">IF(G138&lt;0.1,0,$E$7)</f>
        <v>0</v>
      </c>
      <c r="E139" s="17" t="e">
        <f t="shared" si="6"/>
        <v>#NUM!</v>
      </c>
      <c r="F139" s="17" t="e">
        <f t="shared" si="7"/>
        <v>#NUM!</v>
      </c>
      <c r="G139" s="25">
        <f>IF(G138&lt;0.1,0,$E$4-SUM($E$9:E139))</f>
        <v>0</v>
      </c>
      <c r="H139" s="467"/>
      <c r="I139" s="33"/>
    </row>
    <row r="140" spans="1:9" ht="14.25" thickBot="1">
      <c r="A140" s="33"/>
      <c r="B140" s="469"/>
      <c r="C140" s="18">
        <v>132</v>
      </c>
      <c r="D140" s="27">
        <f t="shared" si="8"/>
        <v>0</v>
      </c>
      <c r="E140" s="17" t="e">
        <f t="shared" si="6"/>
        <v>#NUM!</v>
      </c>
      <c r="F140" s="17" t="e">
        <f t="shared" si="7"/>
        <v>#NUM!</v>
      </c>
      <c r="G140" s="25">
        <f>IF(G139&lt;0.1,0,$E$4-SUM($E$9:E140))</f>
        <v>0</v>
      </c>
      <c r="H140" s="468"/>
      <c r="I140" s="33"/>
    </row>
    <row r="141" spans="1:9" ht="13.5">
      <c r="A141" s="33"/>
      <c r="B141" s="469" t="s">
        <v>142</v>
      </c>
      <c r="C141" s="18">
        <v>133</v>
      </c>
      <c r="D141" s="27">
        <f t="shared" si="8"/>
        <v>0</v>
      </c>
      <c r="E141" s="17" t="e">
        <f t="shared" si="6"/>
        <v>#NUM!</v>
      </c>
      <c r="F141" s="17" t="e">
        <f t="shared" si="7"/>
        <v>#NUM!</v>
      </c>
      <c r="G141" s="25">
        <f>IF(G140&lt;0.1,0,$E$4-SUM($E$9:E141))</f>
        <v>0</v>
      </c>
      <c r="H141" s="466">
        <f>+G152</f>
        <v>0</v>
      </c>
      <c r="I141" s="33"/>
    </row>
    <row r="142" spans="1:9" ht="13.5">
      <c r="A142" s="33"/>
      <c r="B142" s="469"/>
      <c r="C142" s="18">
        <v>134</v>
      </c>
      <c r="D142" s="27">
        <f t="shared" si="8"/>
        <v>0</v>
      </c>
      <c r="E142" s="17" t="e">
        <f t="shared" si="6"/>
        <v>#NUM!</v>
      </c>
      <c r="F142" s="17" t="e">
        <f t="shared" si="7"/>
        <v>#NUM!</v>
      </c>
      <c r="G142" s="25">
        <f>IF(G141&lt;0.1,0,$E$4-SUM($E$9:E142))</f>
        <v>0</v>
      </c>
      <c r="H142" s="467"/>
      <c r="I142" s="33"/>
    </row>
    <row r="143" spans="1:9" ht="13.5">
      <c r="A143" s="33"/>
      <c r="B143" s="469"/>
      <c r="C143" s="18">
        <v>135</v>
      </c>
      <c r="D143" s="27">
        <f t="shared" si="8"/>
        <v>0</v>
      </c>
      <c r="E143" s="17" t="e">
        <f t="shared" si="6"/>
        <v>#NUM!</v>
      </c>
      <c r="F143" s="17" t="e">
        <f t="shared" si="7"/>
        <v>#NUM!</v>
      </c>
      <c r="G143" s="25">
        <f>IF(G142&lt;0.1,0,$E$4-SUM($E$9:E143))</f>
        <v>0</v>
      </c>
      <c r="H143" s="467"/>
      <c r="I143" s="33"/>
    </row>
    <row r="144" spans="1:9" ht="13.5">
      <c r="A144" s="33"/>
      <c r="B144" s="469"/>
      <c r="C144" s="18">
        <v>136</v>
      </c>
      <c r="D144" s="27">
        <f t="shared" si="8"/>
        <v>0</v>
      </c>
      <c r="E144" s="17" t="e">
        <f t="shared" si="6"/>
        <v>#NUM!</v>
      </c>
      <c r="F144" s="17" t="e">
        <f t="shared" si="7"/>
        <v>#NUM!</v>
      </c>
      <c r="G144" s="25">
        <f>IF(G143&lt;0.1,0,$E$4-SUM($E$9:E144))</f>
        <v>0</v>
      </c>
      <c r="H144" s="467"/>
      <c r="I144" s="33"/>
    </row>
    <row r="145" spans="1:9" ht="13.5">
      <c r="A145" s="33"/>
      <c r="B145" s="469"/>
      <c r="C145" s="18">
        <v>137</v>
      </c>
      <c r="D145" s="27">
        <f t="shared" si="8"/>
        <v>0</v>
      </c>
      <c r="E145" s="17" t="e">
        <f t="shared" si="6"/>
        <v>#NUM!</v>
      </c>
      <c r="F145" s="17" t="e">
        <f t="shared" si="7"/>
        <v>#NUM!</v>
      </c>
      <c r="G145" s="25">
        <f>IF(G144&lt;0.1,0,$E$4-SUM($E$9:E145))</f>
        <v>0</v>
      </c>
      <c r="H145" s="467"/>
      <c r="I145" s="33"/>
    </row>
    <row r="146" spans="1:9" ht="13.5">
      <c r="A146" s="33"/>
      <c r="B146" s="469"/>
      <c r="C146" s="18">
        <v>138</v>
      </c>
      <c r="D146" s="27">
        <f t="shared" si="8"/>
        <v>0</v>
      </c>
      <c r="E146" s="17" t="e">
        <f t="shared" si="6"/>
        <v>#NUM!</v>
      </c>
      <c r="F146" s="17" t="e">
        <f t="shared" si="7"/>
        <v>#NUM!</v>
      </c>
      <c r="G146" s="25">
        <f>IF(G145&lt;0.1,0,$E$4-SUM($E$9:E146))</f>
        <v>0</v>
      </c>
      <c r="H146" s="467"/>
      <c r="I146" s="33"/>
    </row>
    <row r="147" spans="1:9" ht="13.5">
      <c r="A147" s="33"/>
      <c r="B147" s="469"/>
      <c r="C147" s="18">
        <v>139</v>
      </c>
      <c r="D147" s="27">
        <f t="shared" si="8"/>
        <v>0</v>
      </c>
      <c r="E147" s="17" t="e">
        <f t="shared" si="6"/>
        <v>#NUM!</v>
      </c>
      <c r="F147" s="17" t="e">
        <f t="shared" si="7"/>
        <v>#NUM!</v>
      </c>
      <c r="G147" s="25">
        <f>IF(G146&lt;0.1,0,$E$4-SUM($E$9:E147))</f>
        <v>0</v>
      </c>
      <c r="H147" s="467"/>
      <c r="I147" s="33"/>
    </row>
    <row r="148" spans="1:9" ht="13.5">
      <c r="A148" s="33"/>
      <c r="B148" s="469"/>
      <c r="C148" s="18">
        <v>140</v>
      </c>
      <c r="D148" s="27">
        <f t="shared" si="8"/>
        <v>0</v>
      </c>
      <c r="E148" s="17" t="e">
        <f t="shared" si="6"/>
        <v>#NUM!</v>
      </c>
      <c r="F148" s="17" t="e">
        <f t="shared" si="7"/>
        <v>#NUM!</v>
      </c>
      <c r="G148" s="25">
        <f>IF(G147&lt;0.1,0,$E$4-SUM($E$9:E148))</f>
        <v>0</v>
      </c>
      <c r="H148" s="467"/>
      <c r="I148" s="33"/>
    </row>
    <row r="149" spans="1:9" ht="13.5">
      <c r="A149" s="33"/>
      <c r="B149" s="469"/>
      <c r="C149" s="18">
        <v>141</v>
      </c>
      <c r="D149" s="27">
        <f t="shared" si="8"/>
        <v>0</v>
      </c>
      <c r="E149" s="17" t="e">
        <f t="shared" si="6"/>
        <v>#NUM!</v>
      </c>
      <c r="F149" s="17" t="e">
        <f t="shared" si="7"/>
        <v>#NUM!</v>
      </c>
      <c r="G149" s="25">
        <f>IF(G148&lt;0.1,0,$E$4-SUM($E$9:E149))</f>
        <v>0</v>
      </c>
      <c r="H149" s="467"/>
      <c r="I149" s="33"/>
    </row>
    <row r="150" spans="1:9" ht="13.5">
      <c r="A150" s="33"/>
      <c r="B150" s="469"/>
      <c r="C150" s="18">
        <v>142</v>
      </c>
      <c r="D150" s="27">
        <f t="shared" si="8"/>
        <v>0</v>
      </c>
      <c r="E150" s="17" t="e">
        <f t="shared" si="6"/>
        <v>#NUM!</v>
      </c>
      <c r="F150" s="17" t="e">
        <f t="shared" si="7"/>
        <v>#NUM!</v>
      </c>
      <c r="G150" s="25">
        <f>IF(G149&lt;0.1,0,$E$4-SUM($E$9:E150))</f>
        <v>0</v>
      </c>
      <c r="H150" s="467"/>
      <c r="I150" s="33"/>
    </row>
    <row r="151" spans="1:9" ht="13.5">
      <c r="A151" s="33"/>
      <c r="B151" s="469"/>
      <c r="C151" s="18">
        <v>143</v>
      </c>
      <c r="D151" s="27">
        <f t="shared" si="8"/>
        <v>0</v>
      </c>
      <c r="E151" s="17" t="e">
        <f t="shared" si="6"/>
        <v>#NUM!</v>
      </c>
      <c r="F151" s="17" t="e">
        <f t="shared" si="7"/>
        <v>#NUM!</v>
      </c>
      <c r="G151" s="25">
        <f>IF(G150&lt;0.1,0,$E$4-SUM($E$9:E151))</f>
        <v>0</v>
      </c>
      <c r="H151" s="467"/>
      <c r="I151" s="33"/>
    </row>
    <row r="152" spans="1:9" ht="14.25" thickBot="1">
      <c r="A152" s="33"/>
      <c r="B152" s="469"/>
      <c r="C152" s="18">
        <v>144</v>
      </c>
      <c r="D152" s="27">
        <f t="shared" si="8"/>
        <v>0</v>
      </c>
      <c r="E152" s="17" t="e">
        <f t="shared" si="6"/>
        <v>#NUM!</v>
      </c>
      <c r="F152" s="17" t="e">
        <f t="shared" si="7"/>
        <v>#NUM!</v>
      </c>
      <c r="G152" s="25">
        <f>IF(G151&lt;0.1,0,$E$4-SUM($E$9:E152))</f>
        <v>0</v>
      </c>
      <c r="H152" s="468"/>
      <c r="I152" s="33"/>
    </row>
    <row r="153" spans="1:9" ht="13.5">
      <c r="A153" s="33"/>
      <c r="B153" s="469" t="s">
        <v>143</v>
      </c>
      <c r="C153" s="18">
        <v>145</v>
      </c>
      <c r="D153" s="27">
        <f t="shared" si="8"/>
        <v>0</v>
      </c>
      <c r="E153" s="17" t="e">
        <f t="shared" si="6"/>
        <v>#NUM!</v>
      </c>
      <c r="F153" s="17" t="e">
        <f t="shared" si="7"/>
        <v>#NUM!</v>
      </c>
      <c r="G153" s="25">
        <f>IF(G152&lt;0.1,0,$E$4-SUM($E$9:E153))</f>
        <v>0</v>
      </c>
      <c r="H153" s="466">
        <f>+G164</f>
        <v>0</v>
      </c>
      <c r="I153" s="33"/>
    </row>
    <row r="154" spans="1:9" ht="13.5">
      <c r="A154" s="33"/>
      <c r="B154" s="469"/>
      <c r="C154" s="18">
        <v>146</v>
      </c>
      <c r="D154" s="27">
        <f t="shared" si="8"/>
        <v>0</v>
      </c>
      <c r="E154" s="17" t="e">
        <f t="shared" si="6"/>
        <v>#NUM!</v>
      </c>
      <c r="F154" s="17" t="e">
        <f t="shared" si="7"/>
        <v>#NUM!</v>
      </c>
      <c r="G154" s="25">
        <f>IF(G153&lt;0.1,0,$E$4-SUM($E$9:E154))</f>
        <v>0</v>
      </c>
      <c r="H154" s="467"/>
      <c r="I154" s="33"/>
    </row>
    <row r="155" spans="1:9" ht="13.5">
      <c r="A155" s="33"/>
      <c r="B155" s="469"/>
      <c r="C155" s="18">
        <v>147</v>
      </c>
      <c r="D155" s="27">
        <f t="shared" si="8"/>
        <v>0</v>
      </c>
      <c r="E155" s="17" t="e">
        <f t="shared" si="6"/>
        <v>#NUM!</v>
      </c>
      <c r="F155" s="17" t="e">
        <f t="shared" si="7"/>
        <v>#NUM!</v>
      </c>
      <c r="G155" s="25">
        <f>IF(G154&lt;0.1,0,$E$4-SUM($E$9:E155))</f>
        <v>0</v>
      </c>
      <c r="H155" s="467"/>
      <c r="I155" s="33"/>
    </row>
    <row r="156" spans="1:9" ht="13.5">
      <c r="A156" s="33"/>
      <c r="B156" s="469"/>
      <c r="C156" s="18">
        <v>148</v>
      </c>
      <c r="D156" s="27">
        <f t="shared" si="8"/>
        <v>0</v>
      </c>
      <c r="E156" s="17" t="e">
        <f t="shared" si="6"/>
        <v>#NUM!</v>
      </c>
      <c r="F156" s="17" t="e">
        <f t="shared" si="7"/>
        <v>#NUM!</v>
      </c>
      <c r="G156" s="25">
        <f>IF(G155&lt;0.1,0,$E$4-SUM($E$9:E156))</f>
        <v>0</v>
      </c>
      <c r="H156" s="467"/>
      <c r="I156" s="33"/>
    </row>
    <row r="157" spans="1:9" ht="13.5">
      <c r="A157" s="33"/>
      <c r="B157" s="469"/>
      <c r="C157" s="18">
        <v>149</v>
      </c>
      <c r="D157" s="27">
        <f t="shared" si="8"/>
        <v>0</v>
      </c>
      <c r="E157" s="17" t="e">
        <f t="shared" si="6"/>
        <v>#NUM!</v>
      </c>
      <c r="F157" s="17" t="e">
        <f t="shared" si="7"/>
        <v>#NUM!</v>
      </c>
      <c r="G157" s="25">
        <f>IF(G156&lt;0.1,0,$E$4-SUM($E$9:E157))</f>
        <v>0</v>
      </c>
      <c r="H157" s="467"/>
      <c r="I157" s="33"/>
    </row>
    <row r="158" spans="1:9" ht="13.5">
      <c r="A158" s="33"/>
      <c r="B158" s="469"/>
      <c r="C158" s="18">
        <v>150</v>
      </c>
      <c r="D158" s="27">
        <f t="shared" si="8"/>
        <v>0</v>
      </c>
      <c r="E158" s="17" t="e">
        <f t="shared" si="6"/>
        <v>#NUM!</v>
      </c>
      <c r="F158" s="17" t="e">
        <f t="shared" si="7"/>
        <v>#NUM!</v>
      </c>
      <c r="G158" s="25">
        <f>IF(G157&lt;0.1,0,$E$4-SUM($E$9:E158))</f>
        <v>0</v>
      </c>
      <c r="H158" s="467"/>
      <c r="I158" s="33"/>
    </row>
    <row r="159" spans="1:9" ht="13.5">
      <c r="A159" s="33"/>
      <c r="B159" s="469"/>
      <c r="C159" s="18">
        <v>151</v>
      </c>
      <c r="D159" s="27">
        <f t="shared" si="8"/>
        <v>0</v>
      </c>
      <c r="E159" s="17" t="e">
        <f t="shared" si="6"/>
        <v>#NUM!</v>
      </c>
      <c r="F159" s="17" t="e">
        <f t="shared" si="7"/>
        <v>#NUM!</v>
      </c>
      <c r="G159" s="25">
        <f>IF(G158&lt;0.1,0,$E$4-SUM($E$9:E159))</f>
        <v>0</v>
      </c>
      <c r="H159" s="467"/>
      <c r="I159" s="33"/>
    </row>
    <row r="160" spans="1:9" ht="13.5">
      <c r="A160" s="33"/>
      <c r="B160" s="469"/>
      <c r="C160" s="18">
        <v>152</v>
      </c>
      <c r="D160" s="27">
        <f t="shared" si="8"/>
        <v>0</v>
      </c>
      <c r="E160" s="17" t="e">
        <f t="shared" si="6"/>
        <v>#NUM!</v>
      </c>
      <c r="F160" s="17" t="e">
        <f t="shared" si="7"/>
        <v>#NUM!</v>
      </c>
      <c r="G160" s="25">
        <f>IF(G159&lt;0.1,0,$E$4-SUM($E$9:E160))</f>
        <v>0</v>
      </c>
      <c r="H160" s="467"/>
      <c r="I160" s="33"/>
    </row>
    <row r="161" spans="1:9" ht="13.5">
      <c r="A161" s="33"/>
      <c r="B161" s="469"/>
      <c r="C161" s="18">
        <v>153</v>
      </c>
      <c r="D161" s="27">
        <f t="shared" si="8"/>
        <v>0</v>
      </c>
      <c r="E161" s="17" t="e">
        <f t="shared" si="6"/>
        <v>#NUM!</v>
      </c>
      <c r="F161" s="17" t="e">
        <f t="shared" si="7"/>
        <v>#NUM!</v>
      </c>
      <c r="G161" s="25">
        <f>IF(G160&lt;0.1,0,$E$4-SUM($E$9:E161))</f>
        <v>0</v>
      </c>
      <c r="H161" s="467"/>
      <c r="I161" s="33"/>
    </row>
    <row r="162" spans="1:9" ht="13.5">
      <c r="A162" s="33"/>
      <c r="B162" s="469"/>
      <c r="C162" s="18">
        <v>154</v>
      </c>
      <c r="D162" s="27">
        <f t="shared" si="8"/>
        <v>0</v>
      </c>
      <c r="E162" s="17" t="e">
        <f t="shared" si="6"/>
        <v>#NUM!</v>
      </c>
      <c r="F162" s="17" t="e">
        <f t="shared" si="7"/>
        <v>#NUM!</v>
      </c>
      <c r="G162" s="25">
        <f>IF(G161&lt;0.1,0,$E$4-SUM($E$9:E162))</f>
        <v>0</v>
      </c>
      <c r="H162" s="467"/>
      <c r="I162" s="33"/>
    </row>
    <row r="163" spans="1:9" ht="13.5">
      <c r="A163" s="33"/>
      <c r="B163" s="469"/>
      <c r="C163" s="18">
        <v>155</v>
      </c>
      <c r="D163" s="27">
        <f t="shared" si="8"/>
        <v>0</v>
      </c>
      <c r="E163" s="17" t="e">
        <f t="shared" si="6"/>
        <v>#NUM!</v>
      </c>
      <c r="F163" s="17" t="e">
        <f t="shared" si="7"/>
        <v>#NUM!</v>
      </c>
      <c r="G163" s="25">
        <f>IF(G162&lt;0.1,0,$E$4-SUM($E$9:E163))</f>
        <v>0</v>
      </c>
      <c r="H163" s="467"/>
      <c r="I163" s="33"/>
    </row>
    <row r="164" spans="1:9" ht="14.25" thickBot="1">
      <c r="A164" s="33"/>
      <c r="B164" s="469"/>
      <c r="C164" s="18">
        <v>156</v>
      </c>
      <c r="D164" s="27">
        <f t="shared" si="8"/>
        <v>0</v>
      </c>
      <c r="E164" s="17" t="e">
        <f t="shared" si="6"/>
        <v>#NUM!</v>
      </c>
      <c r="F164" s="17" t="e">
        <f t="shared" si="7"/>
        <v>#NUM!</v>
      </c>
      <c r="G164" s="25">
        <f>IF(G163&lt;0.1,0,$E$4-SUM($E$9:E164))</f>
        <v>0</v>
      </c>
      <c r="H164" s="468"/>
      <c r="I164" s="33"/>
    </row>
    <row r="165" spans="1:9" ht="13.5">
      <c r="A165" s="33"/>
      <c r="B165" s="469" t="s">
        <v>144</v>
      </c>
      <c r="C165" s="18">
        <v>157</v>
      </c>
      <c r="D165" s="27">
        <f t="shared" si="8"/>
        <v>0</v>
      </c>
      <c r="E165" s="17" t="e">
        <f t="shared" si="6"/>
        <v>#NUM!</v>
      </c>
      <c r="F165" s="17" t="e">
        <f t="shared" si="7"/>
        <v>#NUM!</v>
      </c>
      <c r="G165" s="25">
        <f>IF(G164&lt;0.1,0,$E$4-SUM($E$9:E165))</f>
        <v>0</v>
      </c>
      <c r="H165" s="466">
        <f>+G176</f>
        <v>0</v>
      </c>
      <c r="I165" s="33"/>
    </row>
    <row r="166" spans="1:9" ht="13.5">
      <c r="A166" s="33"/>
      <c r="B166" s="469"/>
      <c r="C166" s="18">
        <v>158</v>
      </c>
      <c r="D166" s="27">
        <f t="shared" si="8"/>
        <v>0</v>
      </c>
      <c r="E166" s="17" t="e">
        <f t="shared" si="6"/>
        <v>#NUM!</v>
      </c>
      <c r="F166" s="17" t="e">
        <f t="shared" si="7"/>
        <v>#NUM!</v>
      </c>
      <c r="G166" s="25">
        <f>IF(G165&lt;0.1,0,$E$4-SUM($E$9:E166))</f>
        <v>0</v>
      </c>
      <c r="H166" s="467"/>
      <c r="I166" s="33"/>
    </row>
    <row r="167" spans="1:9" ht="13.5">
      <c r="A167" s="33"/>
      <c r="B167" s="469"/>
      <c r="C167" s="18">
        <v>159</v>
      </c>
      <c r="D167" s="27">
        <f t="shared" si="8"/>
        <v>0</v>
      </c>
      <c r="E167" s="17" t="e">
        <f t="shared" si="6"/>
        <v>#NUM!</v>
      </c>
      <c r="F167" s="17" t="e">
        <f t="shared" si="7"/>
        <v>#NUM!</v>
      </c>
      <c r="G167" s="25">
        <f>IF(G166&lt;0.1,0,$E$4-SUM($E$9:E167))</f>
        <v>0</v>
      </c>
      <c r="H167" s="467"/>
      <c r="I167" s="33"/>
    </row>
    <row r="168" spans="1:9" ht="13.5">
      <c r="A168" s="33"/>
      <c r="B168" s="469"/>
      <c r="C168" s="18">
        <v>160</v>
      </c>
      <c r="D168" s="27">
        <f t="shared" si="8"/>
        <v>0</v>
      </c>
      <c r="E168" s="17" t="e">
        <f t="shared" si="6"/>
        <v>#NUM!</v>
      </c>
      <c r="F168" s="17" t="e">
        <f t="shared" si="7"/>
        <v>#NUM!</v>
      </c>
      <c r="G168" s="25">
        <f>IF(G167&lt;0.1,0,$E$4-SUM($E$9:E168))</f>
        <v>0</v>
      </c>
      <c r="H168" s="467"/>
      <c r="I168" s="33"/>
    </row>
    <row r="169" spans="1:9" ht="13.5">
      <c r="A169" s="33"/>
      <c r="B169" s="469"/>
      <c r="C169" s="18">
        <v>161</v>
      </c>
      <c r="D169" s="27">
        <f t="shared" si="8"/>
        <v>0</v>
      </c>
      <c r="E169" s="17" t="e">
        <f t="shared" si="6"/>
        <v>#NUM!</v>
      </c>
      <c r="F169" s="17" t="e">
        <f t="shared" si="7"/>
        <v>#NUM!</v>
      </c>
      <c r="G169" s="25">
        <f>IF(G168&lt;0.1,0,$E$4-SUM($E$9:E169))</f>
        <v>0</v>
      </c>
      <c r="H169" s="467"/>
      <c r="I169" s="33"/>
    </row>
    <row r="170" spans="1:9" ht="13.5">
      <c r="A170" s="33"/>
      <c r="B170" s="469"/>
      <c r="C170" s="18">
        <v>162</v>
      </c>
      <c r="D170" s="27">
        <f t="shared" si="8"/>
        <v>0</v>
      </c>
      <c r="E170" s="17" t="e">
        <f t="shared" si="6"/>
        <v>#NUM!</v>
      </c>
      <c r="F170" s="17" t="e">
        <f t="shared" si="7"/>
        <v>#NUM!</v>
      </c>
      <c r="G170" s="25">
        <f>IF(G169&lt;0.1,0,$E$4-SUM($E$9:E170))</f>
        <v>0</v>
      </c>
      <c r="H170" s="467"/>
      <c r="I170" s="33"/>
    </row>
    <row r="171" spans="1:9" ht="13.5">
      <c r="A171" s="33"/>
      <c r="B171" s="469"/>
      <c r="C171" s="18">
        <v>163</v>
      </c>
      <c r="D171" s="27">
        <f t="shared" si="8"/>
        <v>0</v>
      </c>
      <c r="E171" s="17" t="e">
        <f t="shared" si="6"/>
        <v>#NUM!</v>
      </c>
      <c r="F171" s="17" t="e">
        <f t="shared" si="7"/>
        <v>#NUM!</v>
      </c>
      <c r="G171" s="25">
        <f>IF(G170&lt;0.1,0,$E$4-SUM($E$9:E171))</f>
        <v>0</v>
      </c>
      <c r="H171" s="467"/>
      <c r="I171" s="33"/>
    </row>
    <row r="172" spans="1:9" ht="13.5">
      <c r="A172" s="33"/>
      <c r="B172" s="469"/>
      <c r="C172" s="18">
        <v>164</v>
      </c>
      <c r="D172" s="27">
        <f t="shared" si="8"/>
        <v>0</v>
      </c>
      <c r="E172" s="17" t="e">
        <f t="shared" si="6"/>
        <v>#NUM!</v>
      </c>
      <c r="F172" s="17" t="e">
        <f t="shared" si="7"/>
        <v>#NUM!</v>
      </c>
      <c r="G172" s="25">
        <f>IF(G171&lt;0.1,0,$E$4-SUM($E$9:E172))</f>
        <v>0</v>
      </c>
      <c r="H172" s="467"/>
      <c r="I172" s="33"/>
    </row>
    <row r="173" spans="1:9" ht="13.5">
      <c r="A173" s="33"/>
      <c r="B173" s="469"/>
      <c r="C173" s="18">
        <v>165</v>
      </c>
      <c r="D173" s="27">
        <f t="shared" si="8"/>
        <v>0</v>
      </c>
      <c r="E173" s="17" t="e">
        <f t="shared" si="6"/>
        <v>#NUM!</v>
      </c>
      <c r="F173" s="17" t="e">
        <f t="shared" si="7"/>
        <v>#NUM!</v>
      </c>
      <c r="G173" s="25">
        <f>IF(G172&lt;0.1,0,$E$4-SUM($E$9:E173))</f>
        <v>0</v>
      </c>
      <c r="H173" s="467"/>
      <c r="I173" s="33"/>
    </row>
    <row r="174" spans="1:9" ht="13.5">
      <c r="A174" s="33"/>
      <c r="B174" s="469"/>
      <c r="C174" s="18">
        <v>166</v>
      </c>
      <c r="D174" s="27">
        <f t="shared" si="8"/>
        <v>0</v>
      </c>
      <c r="E174" s="17" t="e">
        <f t="shared" si="6"/>
        <v>#NUM!</v>
      </c>
      <c r="F174" s="17" t="e">
        <f t="shared" si="7"/>
        <v>#NUM!</v>
      </c>
      <c r="G174" s="25">
        <f>IF(G173&lt;0.1,0,$E$4-SUM($E$9:E174))</f>
        <v>0</v>
      </c>
      <c r="H174" s="467"/>
      <c r="I174" s="33"/>
    </row>
    <row r="175" spans="1:9" ht="13.5">
      <c r="A175" s="33"/>
      <c r="B175" s="469"/>
      <c r="C175" s="18">
        <v>167</v>
      </c>
      <c r="D175" s="27">
        <f t="shared" si="8"/>
        <v>0</v>
      </c>
      <c r="E175" s="17" t="e">
        <f t="shared" si="6"/>
        <v>#NUM!</v>
      </c>
      <c r="F175" s="17" t="e">
        <f t="shared" si="7"/>
        <v>#NUM!</v>
      </c>
      <c r="G175" s="25">
        <f>IF(G174&lt;0.1,0,$E$4-SUM($E$9:E175))</f>
        <v>0</v>
      </c>
      <c r="H175" s="467"/>
      <c r="I175" s="33"/>
    </row>
    <row r="176" spans="1:9" ht="14.25" thickBot="1">
      <c r="A176" s="33"/>
      <c r="B176" s="469"/>
      <c r="C176" s="18">
        <v>168</v>
      </c>
      <c r="D176" s="27">
        <f t="shared" si="8"/>
        <v>0</v>
      </c>
      <c r="E176" s="17" t="e">
        <f t="shared" si="6"/>
        <v>#NUM!</v>
      </c>
      <c r="F176" s="17" t="e">
        <f t="shared" si="7"/>
        <v>#NUM!</v>
      </c>
      <c r="G176" s="25">
        <f>IF(G175&lt;0.1,0,$E$4-SUM($E$9:E176))</f>
        <v>0</v>
      </c>
      <c r="H176" s="468"/>
      <c r="I176" s="33"/>
    </row>
    <row r="177" spans="1:9" ht="13.5">
      <c r="A177" s="33"/>
      <c r="B177" s="469" t="s">
        <v>145</v>
      </c>
      <c r="C177" s="18">
        <v>169</v>
      </c>
      <c r="D177" s="27">
        <f t="shared" si="8"/>
        <v>0</v>
      </c>
      <c r="E177" s="17" t="e">
        <f t="shared" si="6"/>
        <v>#NUM!</v>
      </c>
      <c r="F177" s="17" t="e">
        <f t="shared" si="7"/>
        <v>#NUM!</v>
      </c>
      <c r="G177" s="25">
        <f>IF(G176&lt;0.1,0,$E$4-SUM($E$9:E177))</f>
        <v>0</v>
      </c>
      <c r="H177" s="466">
        <f>+G188</f>
        <v>0</v>
      </c>
      <c r="I177" s="33"/>
    </row>
    <row r="178" spans="1:9" ht="13.5">
      <c r="A178" s="33"/>
      <c r="B178" s="469"/>
      <c r="C178" s="18">
        <v>170</v>
      </c>
      <c r="D178" s="27">
        <f t="shared" si="8"/>
        <v>0</v>
      </c>
      <c r="E178" s="17" t="e">
        <f t="shared" si="6"/>
        <v>#NUM!</v>
      </c>
      <c r="F178" s="17" t="e">
        <f t="shared" si="7"/>
        <v>#NUM!</v>
      </c>
      <c r="G178" s="25">
        <f>IF(G177&lt;0.1,0,$E$4-SUM($E$9:E178))</f>
        <v>0</v>
      </c>
      <c r="H178" s="467"/>
      <c r="I178" s="33"/>
    </row>
    <row r="179" spans="1:9" ht="13.5">
      <c r="A179" s="33"/>
      <c r="B179" s="469"/>
      <c r="C179" s="18">
        <v>171</v>
      </c>
      <c r="D179" s="27">
        <f t="shared" si="8"/>
        <v>0</v>
      </c>
      <c r="E179" s="17" t="e">
        <f t="shared" si="6"/>
        <v>#NUM!</v>
      </c>
      <c r="F179" s="17" t="e">
        <f t="shared" si="7"/>
        <v>#NUM!</v>
      </c>
      <c r="G179" s="25">
        <f>IF(G178&lt;0.1,0,$E$4-SUM($E$9:E179))</f>
        <v>0</v>
      </c>
      <c r="H179" s="467"/>
      <c r="I179" s="33"/>
    </row>
    <row r="180" spans="1:9" ht="13.5">
      <c r="A180" s="33"/>
      <c r="B180" s="469"/>
      <c r="C180" s="18">
        <v>172</v>
      </c>
      <c r="D180" s="27">
        <f t="shared" si="8"/>
        <v>0</v>
      </c>
      <c r="E180" s="17" t="e">
        <f t="shared" si="6"/>
        <v>#NUM!</v>
      </c>
      <c r="F180" s="17" t="e">
        <f t="shared" si="7"/>
        <v>#NUM!</v>
      </c>
      <c r="G180" s="25">
        <f>IF(G179&lt;0.1,0,$E$4-SUM($E$9:E180))</f>
        <v>0</v>
      </c>
      <c r="H180" s="467"/>
      <c r="I180" s="33"/>
    </row>
    <row r="181" spans="1:9" ht="13.5">
      <c r="A181" s="33"/>
      <c r="B181" s="469"/>
      <c r="C181" s="18">
        <v>173</v>
      </c>
      <c r="D181" s="27">
        <f t="shared" si="8"/>
        <v>0</v>
      </c>
      <c r="E181" s="17" t="e">
        <f t="shared" si="6"/>
        <v>#NUM!</v>
      </c>
      <c r="F181" s="17" t="e">
        <f t="shared" si="7"/>
        <v>#NUM!</v>
      </c>
      <c r="G181" s="25">
        <f>IF(G180&lt;0.1,0,$E$4-SUM($E$9:E181))</f>
        <v>0</v>
      </c>
      <c r="H181" s="467"/>
      <c r="I181" s="33"/>
    </row>
    <row r="182" spans="1:9" ht="13.5">
      <c r="A182" s="33"/>
      <c r="B182" s="469"/>
      <c r="C182" s="18">
        <v>174</v>
      </c>
      <c r="D182" s="27">
        <f t="shared" si="8"/>
        <v>0</v>
      </c>
      <c r="E182" s="17" t="e">
        <f t="shared" si="6"/>
        <v>#NUM!</v>
      </c>
      <c r="F182" s="17" t="e">
        <f t="shared" si="7"/>
        <v>#NUM!</v>
      </c>
      <c r="G182" s="25">
        <f>IF(G181&lt;0.1,0,$E$4-SUM($E$9:E182))</f>
        <v>0</v>
      </c>
      <c r="H182" s="467"/>
      <c r="I182" s="33"/>
    </row>
    <row r="183" spans="1:9" ht="13.5">
      <c r="A183" s="33"/>
      <c r="B183" s="469"/>
      <c r="C183" s="18">
        <v>175</v>
      </c>
      <c r="D183" s="27">
        <f t="shared" si="8"/>
        <v>0</v>
      </c>
      <c r="E183" s="17" t="e">
        <f t="shared" si="6"/>
        <v>#NUM!</v>
      </c>
      <c r="F183" s="17" t="e">
        <f t="shared" si="7"/>
        <v>#NUM!</v>
      </c>
      <c r="G183" s="25">
        <f>IF(G182&lt;0.1,0,$E$4-SUM($E$9:E183))</f>
        <v>0</v>
      </c>
      <c r="H183" s="467"/>
      <c r="I183" s="33"/>
    </row>
    <row r="184" spans="1:9" ht="13.5">
      <c r="A184" s="33"/>
      <c r="B184" s="469"/>
      <c r="C184" s="18">
        <v>176</v>
      </c>
      <c r="D184" s="27">
        <f t="shared" si="8"/>
        <v>0</v>
      </c>
      <c r="E184" s="17" t="e">
        <f t="shared" si="6"/>
        <v>#NUM!</v>
      </c>
      <c r="F184" s="17" t="e">
        <f t="shared" si="7"/>
        <v>#NUM!</v>
      </c>
      <c r="G184" s="25">
        <f>IF(G183&lt;0.1,0,$E$4-SUM($E$9:E184))</f>
        <v>0</v>
      </c>
      <c r="H184" s="467"/>
      <c r="I184" s="33"/>
    </row>
    <row r="185" spans="1:9" ht="13.5">
      <c r="A185" s="33"/>
      <c r="B185" s="469"/>
      <c r="C185" s="18">
        <v>177</v>
      </c>
      <c r="D185" s="27">
        <f t="shared" si="8"/>
        <v>0</v>
      </c>
      <c r="E185" s="17" t="e">
        <f t="shared" si="6"/>
        <v>#NUM!</v>
      </c>
      <c r="F185" s="17" t="e">
        <f t="shared" si="7"/>
        <v>#NUM!</v>
      </c>
      <c r="G185" s="25">
        <f>IF(G184&lt;0.1,0,$E$4-SUM($E$9:E185))</f>
        <v>0</v>
      </c>
      <c r="H185" s="467"/>
      <c r="I185" s="33"/>
    </row>
    <row r="186" spans="1:9" ht="13.5">
      <c r="A186" s="33"/>
      <c r="B186" s="469"/>
      <c r="C186" s="18">
        <v>178</v>
      </c>
      <c r="D186" s="27">
        <f t="shared" si="8"/>
        <v>0</v>
      </c>
      <c r="E186" s="17" t="e">
        <f t="shared" si="6"/>
        <v>#NUM!</v>
      </c>
      <c r="F186" s="17" t="e">
        <f t="shared" si="7"/>
        <v>#NUM!</v>
      </c>
      <c r="G186" s="25">
        <f>IF(G185&lt;0.1,0,$E$4-SUM($E$9:E186))</f>
        <v>0</v>
      </c>
      <c r="H186" s="467"/>
      <c r="I186" s="33"/>
    </row>
    <row r="187" spans="1:9" ht="13.5">
      <c r="A187" s="33"/>
      <c r="B187" s="469"/>
      <c r="C187" s="18">
        <v>179</v>
      </c>
      <c r="D187" s="27">
        <f t="shared" si="8"/>
        <v>0</v>
      </c>
      <c r="E187" s="17" t="e">
        <f t="shared" si="6"/>
        <v>#NUM!</v>
      </c>
      <c r="F187" s="17" t="e">
        <f t="shared" si="7"/>
        <v>#NUM!</v>
      </c>
      <c r="G187" s="25">
        <f>IF(G186&lt;0.1,0,$E$4-SUM($E$9:E187))</f>
        <v>0</v>
      </c>
      <c r="H187" s="467"/>
      <c r="I187" s="33"/>
    </row>
    <row r="188" spans="1:9" ht="14.25" thickBot="1">
      <c r="A188" s="33"/>
      <c r="B188" s="469"/>
      <c r="C188" s="18">
        <v>180</v>
      </c>
      <c r="D188" s="27">
        <f t="shared" si="8"/>
        <v>0</v>
      </c>
      <c r="E188" s="17" t="e">
        <f t="shared" si="6"/>
        <v>#NUM!</v>
      </c>
      <c r="F188" s="17" t="e">
        <f t="shared" si="7"/>
        <v>#NUM!</v>
      </c>
      <c r="G188" s="25">
        <f>IF(G187&lt;0.1,0,$E$4-SUM($E$9:E188))</f>
        <v>0</v>
      </c>
      <c r="H188" s="468"/>
      <c r="I188" s="33"/>
    </row>
    <row r="189" spans="1:9" ht="13.5">
      <c r="A189" s="33"/>
      <c r="B189" s="469" t="s">
        <v>146</v>
      </c>
      <c r="C189" s="18">
        <v>181</v>
      </c>
      <c r="D189" s="27">
        <f t="shared" si="8"/>
        <v>0</v>
      </c>
      <c r="E189" s="17" t="e">
        <f t="shared" si="6"/>
        <v>#NUM!</v>
      </c>
      <c r="F189" s="17" t="e">
        <f t="shared" si="7"/>
        <v>#NUM!</v>
      </c>
      <c r="G189" s="25">
        <f>IF(G188&lt;0.1,0,$E$4-SUM($E$9:E189))</f>
        <v>0</v>
      </c>
      <c r="H189" s="466">
        <f>+G200</f>
        <v>0</v>
      </c>
      <c r="I189" s="33"/>
    </row>
    <row r="190" spans="1:9" ht="13.5">
      <c r="A190" s="33"/>
      <c r="B190" s="469"/>
      <c r="C190" s="18">
        <v>182</v>
      </c>
      <c r="D190" s="27">
        <f t="shared" si="8"/>
        <v>0</v>
      </c>
      <c r="E190" s="17" t="e">
        <f t="shared" si="6"/>
        <v>#NUM!</v>
      </c>
      <c r="F190" s="17" t="e">
        <f t="shared" si="7"/>
        <v>#NUM!</v>
      </c>
      <c r="G190" s="25">
        <f>IF(G189&lt;0.1,0,$E$4-SUM($E$9:E190))</f>
        <v>0</v>
      </c>
      <c r="H190" s="467"/>
      <c r="I190" s="33"/>
    </row>
    <row r="191" spans="1:9" ht="13.5">
      <c r="A191" s="33"/>
      <c r="B191" s="469"/>
      <c r="C191" s="18">
        <v>183</v>
      </c>
      <c r="D191" s="27">
        <f t="shared" si="8"/>
        <v>0</v>
      </c>
      <c r="E191" s="17" t="e">
        <f t="shared" si="6"/>
        <v>#NUM!</v>
      </c>
      <c r="F191" s="17" t="e">
        <f t="shared" si="7"/>
        <v>#NUM!</v>
      </c>
      <c r="G191" s="25">
        <f>IF(G190&lt;0.1,0,$E$4-SUM($E$9:E191))</f>
        <v>0</v>
      </c>
      <c r="H191" s="467"/>
      <c r="I191" s="33"/>
    </row>
    <row r="192" spans="1:9" ht="13.5">
      <c r="A192" s="33"/>
      <c r="B192" s="469"/>
      <c r="C192" s="18">
        <v>184</v>
      </c>
      <c r="D192" s="27">
        <f t="shared" si="8"/>
        <v>0</v>
      </c>
      <c r="E192" s="17" t="e">
        <f t="shared" si="6"/>
        <v>#NUM!</v>
      </c>
      <c r="F192" s="17" t="e">
        <f t="shared" si="7"/>
        <v>#NUM!</v>
      </c>
      <c r="G192" s="25">
        <f>IF(G191&lt;0.1,0,$E$4-SUM($E$9:E192))</f>
        <v>0</v>
      </c>
      <c r="H192" s="467"/>
      <c r="I192" s="33"/>
    </row>
    <row r="193" spans="1:9" ht="13.5">
      <c r="A193" s="33"/>
      <c r="B193" s="469"/>
      <c r="C193" s="18">
        <v>185</v>
      </c>
      <c r="D193" s="27">
        <f t="shared" si="8"/>
        <v>0</v>
      </c>
      <c r="E193" s="17" t="e">
        <f t="shared" si="6"/>
        <v>#NUM!</v>
      </c>
      <c r="F193" s="17" t="e">
        <f t="shared" si="7"/>
        <v>#NUM!</v>
      </c>
      <c r="G193" s="25">
        <f>IF(G192&lt;0.1,0,$E$4-SUM($E$9:E193))</f>
        <v>0</v>
      </c>
      <c r="H193" s="467"/>
      <c r="I193" s="33"/>
    </row>
    <row r="194" spans="1:9" ht="13.5">
      <c r="A194" s="33"/>
      <c r="B194" s="469"/>
      <c r="C194" s="18">
        <v>186</v>
      </c>
      <c r="D194" s="27">
        <f t="shared" si="8"/>
        <v>0</v>
      </c>
      <c r="E194" s="17" t="e">
        <f t="shared" si="6"/>
        <v>#NUM!</v>
      </c>
      <c r="F194" s="17" t="e">
        <f t="shared" si="7"/>
        <v>#NUM!</v>
      </c>
      <c r="G194" s="25">
        <f>IF(G193&lt;0.1,0,$E$4-SUM($E$9:E194))</f>
        <v>0</v>
      </c>
      <c r="H194" s="467"/>
      <c r="I194" s="33"/>
    </row>
    <row r="195" spans="1:9" ht="13.5">
      <c r="A195" s="33"/>
      <c r="B195" s="469"/>
      <c r="C195" s="18">
        <v>187</v>
      </c>
      <c r="D195" s="27">
        <f t="shared" si="8"/>
        <v>0</v>
      </c>
      <c r="E195" s="17" t="e">
        <f t="shared" si="6"/>
        <v>#NUM!</v>
      </c>
      <c r="F195" s="17" t="e">
        <f t="shared" si="7"/>
        <v>#NUM!</v>
      </c>
      <c r="G195" s="25">
        <f>IF(G194&lt;0.1,0,$E$4-SUM($E$9:E195))</f>
        <v>0</v>
      </c>
      <c r="H195" s="467"/>
      <c r="I195" s="33"/>
    </row>
    <row r="196" spans="1:9" ht="13.5">
      <c r="A196" s="33"/>
      <c r="B196" s="469"/>
      <c r="C196" s="18">
        <v>188</v>
      </c>
      <c r="D196" s="27">
        <f t="shared" si="8"/>
        <v>0</v>
      </c>
      <c r="E196" s="17" t="e">
        <f t="shared" si="6"/>
        <v>#NUM!</v>
      </c>
      <c r="F196" s="17" t="e">
        <f t="shared" si="7"/>
        <v>#NUM!</v>
      </c>
      <c r="G196" s="25">
        <f>IF(G195&lt;0.1,0,$E$4-SUM($E$9:E196))</f>
        <v>0</v>
      </c>
      <c r="H196" s="467"/>
      <c r="I196" s="33"/>
    </row>
    <row r="197" spans="1:9" ht="13.5">
      <c r="A197" s="33"/>
      <c r="B197" s="469"/>
      <c r="C197" s="18">
        <v>189</v>
      </c>
      <c r="D197" s="27">
        <f t="shared" si="8"/>
        <v>0</v>
      </c>
      <c r="E197" s="17" t="e">
        <f t="shared" si="6"/>
        <v>#NUM!</v>
      </c>
      <c r="F197" s="17" t="e">
        <f t="shared" si="7"/>
        <v>#NUM!</v>
      </c>
      <c r="G197" s="25">
        <f>IF(G196&lt;0.1,0,$E$4-SUM($E$9:E197))</f>
        <v>0</v>
      </c>
      <c r="H197" s="467"/>
      <c r="I197" s="33"/>
    </row>
    <row r="198" spans="1:9" ht="13.5">
      <c r="A198" s="33"/>
      <c r="B198" s="469"/>
      <c r="C198" s="18">
        <v>190</v>
      </c>
      <c r="D198" s="27">
        <f t="shared" si="8"/>
        <v>0</v>
      </c>
      <c r="E198" s="17" t="e">
        <f t="shared" si="6"/>
        <v>#NUM!</v>
      </c>
      <c r="F198" s="17" t="e">
        <f t="shared" si="7"/>
        <v>#NUM!</v>
      </c>
      <c r="G198" s="25">
        <f>IF(G197&lt;0.1,0,$E$4-SUM($E$9:E198))</f>
        <v>0</v>
      </c>
      <c r="H198" s="467"/>
      <c r="I198" s="33"/>
    </row>
    <row r="199" spans="1:9" ht="13.5">
      <c r="A199" s="33"/>
      <c r="B199" s="469"/>
      <c r="C199" s="18">
        <v>191</v>
      </c>
      <c r="D199" s="27">
        <f t="shared" si="8"/>
        <v>0</v>
      </c>
      <c r="E199" s="17" t="e">
        <f t="shared" si="6"/>
        <v>#NUM!</v>
      </c>
      <c r="F199" s="17" t="e">
        <f t="shared" si="7"/>
        <v>#NUM!</v>
      </c>
      <c r="G199" s="25">
        <f>IF(G198&lt;0.1,0,$E$4-SUM($E$9:E199))</f>
        <v>0</v>
      </c>
      <c r="H199" s="467"/>
      <c r="I199" s="33"/>
    </row>
    <row r="200" spans="1:9" ht="14.25" thickBot="1">
      <c r="A200" s="33"/>
      <c r="B200" s="469"/>
      <c r="C200" s="18">
        <v>192</v>
      </c>
      <c r="D200" s="27">
        <f t="shared" si="8"/>
        <v>0</v>
      </c>
      <c r="E200" s="17" t="e">
        <f t="shared" si="6"/>
        <v>#NUM!</v>
      </c>
      <c r="F200" s="17" t="e">
        <f t="shared" si="7"/>
        <v>#NUM!</v>
      </c>
      <c r="G200" s="25">
        <f>IF(G199&lt;0.1,0,$E$4-SUM($E$9:E200))</f>
        <v>0</v>
      </c>
      <c r="H200" s="468"/>
      <c r="I200" s="33"/>
    </row>
    <row r="201" spans="1:9" ht="13.5">
      <c r="A201" s="33"/>
      <c r="B201" s="469" t="s">
        <v>147</v>
      </c>
      <c r="C201" s="18">
        <v>193</v>
      </c>
      <c r="D201" s="27">
        <f t="shared" si="8"/>
        <v>0</v>
      </c>
      <c r="E201" s="17" t="e">
        <f t="shared" si="6"/>
        <v>#NUM!</v>
      </c>
      <c r="F201" s="17" t="e">
        <f t="shared" si="7"/>
        <v>#NUM!</v>
      </c>
      <c r="G201" s="25">
        <f>IF(G200&lt;0.1,0,$E$4-SUM($E$9:E201))</f>
        <v>0</v>
      </c>
      <c r="H201" s="466">
        <f>+G212</f>
        <v>0</v>
      </c>
      <c r="I201" s="33"/>
    </row>
    <row r="202" spans="1:9" ht="13.5">
      <c r="A202" s="33"/>
      <c r="B202" s="469"/>
      <c r="C202" s="18">
        <v>194</v>
      </c>
      <c r="D202" s="27">
        <f t="shared" si="8"/>
        <v>0</v>
      </c>
      <c r="E202" s="17" t="e">
        <f aca="true" t="shared" si="9" ref="E202:E265">-PPMT($G$4/12,$C202,$H$4,$E$4)</f>
        <v>#NUM!</v>
      </c>
      <c r="F202" s="17" t="e">
        <f aca="true" t="shared" si="10" ref="F202:F265">-IPMT($G$4/12,$C202,$H$4,$E$4)</f>
        <v>#NUM!</v>
      </c>
      <c r="G202" s="25">
        <f>IF(G201&lt;0.1,0,$E$4-SUM($E$9:E202))</f>
        <v>0</v>
      </c>
      <c r="H202" s="467"/>
      <c r="I202" s="33"/>
    </row>
    <row r="203" spans="1:9" ht="13.5">
      <c r="A203" s="33"/>
      <c r="B203" s="469"/>
      <c r="C203" s="18">
        <v>195</v>
      </c>
      <c r="D203" s="27">
        <f aca="true" t="shared" si="11" ref="D203:D266">IF(G202&lt;0.1,0,$E$7)</f>
        <v>0</v>
      </c>
      <c r="E203" s="17" t="e">
        <f t="shared" si="9"/>
        <v>#NUM!</v>
      </c>
      <c r="F203" s="17" t="e">
        <f t="shared" si="10"/>
        <v>#NUM!</v>
      </c>
      <c r="G203" s="25">
        <f>IF(G202&lt;0.1,0,$E$4-SUM($E$9:E203))</f>
        <v>0</v>
      </c>
      <c r="H203" s="467"/>
      <c r="I203" s="33"/>
    </row>
    <row r="204" spans="1:9" ht="13.5">
      <c r="A204" s="33"/>
      <c r="B204" s="469"/>
      <c r="C204" s="18">
        <v>196</v>
      </c>
      <c r="D204" s="27">
        <f t="shared" si="11"/>
        <v>0</v>
      </c>
      <c r="E204" s="17" t="e">
        <f t="shared" si="9"/>
        <v>#NUM!</v>
      </c>
      <c r="F204" s="17" t="e">
        <f t="shared" si="10"/>
        <v>#NUM!</v>
      </c>
      <c r="G204" s="25">
        <f>IF(G203&lt;0.1,0,$E$4-SUM($E$9:E204))</f>
        <v>0</v>
      </c>
      <c r="H204" s="467"/>
      <c r="I204" s="33"/>
    </row>
    <row r="205" spans="1:9" ht="13.5">
      <c r="A205" s="33"/>
      <c r="B205" s="469"/>
      <c r="C205" s="18">
        <v>197</v>
      </c>
      <c r="D205" s="27">
        <f t="shared" si="11"/>
        <v>0</v>
      </c>
      <c r="E205" s="17" t="e">
        <f t="shared" si="9"/>
        <v>#NUM!</v>
      </c>
      <c r="F205" s="17" t="e">
        <f t="shared" si="10"/>
        <v>#NUM!</v>
      </c>
      <c r="G205" s="25">
        <f>IF(G204&lt;0.1,0,$E$4-SUM($E$9:E205))</f>
        <v>0</v>
      </c>
      <c r="H205" s="467"/>
      <c r="I205" s="33"/>
    </row>
    <row r="206" spans="1:9" ht="13.5">
      <c r="A206" s="33"/>
      <c r="B206" s="469"/>
      <c r="C206" s="18">
        <v>198</v>
      </c>
      <c r="D206" s="27">
        <f t="shared" si="11"/>
        <v>0</v>
      </c>
      <c r="E206" s="17" t="e">
        <f t="shared" si="9"/>
        <v>#NUM!</v>
      </c>
      <c r="F206" s="17" t="e">
        <f t="shared" si="10"/>
        <v>#NUM!</v>
      </c>
      <c r="G206" s="25">
        <f>IF(G205&lt;0.1,0,$E$4-SUM($E$9:E206))</f>
        <v>0</v>
      </c>
      <c r="H206" s="467"/>
      <c r="I206" s="33"/>
    </row>
    <row r="207" spans="1:9" ht="13.5">
      <c r="A207" s="33"/>
      <c r="B207" s="469"/>
      <c r="C207" s="18">
        <v>199</v>
      </c>
      <c r="D207" s="27">
        <f t="shared" si="11"/>
        <v>0</v>
      </c>
      <c r="E207" s="17" t="e">
        <f t="shared" si="9"/>
        <v>#NUM!</v>
      </c>
      <c r="F207" s="17" t="e">
        <f t="shared" si="10"/>
        <v>#NUM!</v>
      </c>
      <c r="G207" s="25">
        <f>IF(G206&lt;0.1,0,$E$4-SUM($E$9:E207))</f>
        <v>0</v>
      </c>
      <c r="H207" s="467"/>
      <c r="I207" s="33"/>
    </row>
    <row r="208" spans="1:9" ht="13.5">
      <c r="A208" s="33"/>
      <c r="B208" s="469"/>
      <c r="C208" s="18">
        <v>200</v>
      </c>
      <c r="D208" s="27">
        <f t="shared" si="11"/>
        <v>0</v>
      </c>
      <c r="E208" s="17" t="e">
        <f t="shared" si="9"/>
        <v>#NUM!</v>
      </c>
      <c r="F208" s="17" t="e">
        <f t="shared" si="10"/>
        <v>#NUM!</v>
      </c>
      <c r="G208" s="25">
        <f>IF(G207&lt;0.1,0,$E$4-SUM($E$9:E208))</f>
        <v>0</v>
      </c>
      <c r="H208" s="467"/>
      <c r="I208" s="33"/>
    </row>
    <row r="209" spans="1:9" ht="13.5">
      <c r="A209" s="33"/>
      <c r="B209" s="469"/>
      <c r="C209" s="18">
        <v>201</v>
      </c>
      <c r="D209" s="27">
        <f t="shared" si="11"/>
        <v>0</v>
      </c>
      <c r="E209" s="17" t="e">
        <f t="shared" si="9"/>
        <v>#NUM!</v>
      </c>
      <c r="F209" s="17" t="e">
        <f t="shared" si="10"/>
        <v>#NUM!</v>
      </c>
      <c r="G209" s="25">
        <f>IF(G208&lt;0.1,0,$E$4-SUM($E$9:E209))</f>
        <v>0</v>
      </c>
      <c r="H209" s="467"/>
      <c r="I209" s="33"/>
    </row>
    <row r="210" spans="1:9" ht="13.5">
      <c r="A210" s="33"/>
      <c r="B210" s="469"/>
      <c r="C210" s="18">
        <v>202</v>
      </c>
      <c r="D210" s="27">
        <f t="shared" si="11"/>
        <v>0</v>
      </c>
      <c r="E210" s="17" t="e">
        <f t="shared" si="9"/>
        <v>#NUM!</v>
      </c>
      <c r="F210" s="17" t="e">
        <f t="shared" si="10"/>
        <v>#NUM!</v>
      </c>
      <c r="G210" s="25">
        <f>IF(G209&lt;0.1,0,$E$4-SUM($E$9:E210))</f>
        <v>0</v>
      </c>
      <c r="H210" s="467"/>
      <c r="I210" s="33"/>
    </row>
    <row r="211" spans="1:9" ht="13.5">
      <c r="A211" s="33"/>
      <c r="B211" s="469"/>
      <c r="C211" s="18">
        <v>203</v>
      </c>
      <c r="D211" s="27">
        <f t="shared" si="11"/>
        <v>0</v>
      </c>
      <c r="E211" s="17" t="e">
        <f t="shared" si="9"/>
        <v>#NUM!</v>
      </c>
      <c r="F211" s="17" t="e">
        <f t="shared" si="10"/>
        <v>#NUM!</v>
      </c>
      <c r="G211" s="25">
        <f>IF(G210&lt;0.1,0,$E$4-SUM($E$9:E211))</f>
        <v>0</v>
      </c>
      <c r="H211" s="467"/>
      <c r="I211" s="33"/>
    </row>
    <row r="212" spans="1:9" ht="14.25" thickBot="1">
      <c r="A212" s="33"/>
      <c r="B212" s="469"/>
      <c r="C212" s="18">
        <v>204</v>
      </c>
      <c r="D212" s="27">
        <f t="shared" si="11"/>
        <v>0</v>
      </c>
      <c r="E212" s="17" t="e">
        <f t="shared" si="9"/>
        <v>#NUM!</v>
      </c>
      <c r="F212" s="17" t="e">
        <f t="shared" si="10"/>
        <v>#NUM!</v>
      </c>
      <c r="G212" s="25">
        <f>IF(G211&lt;0.1,0,$E$4-SUM($E$9:E212))</f>
        <v>0</v>
      </c>
      <c r="H212" s="468"/>
      <c r="I212" s="33"/>
    </row>
    <row r="213" spans="1:9" ht="13.5">
      <c r="A213" s="33"/>
      <c r="B213" s="469" t="s">
        <v>148</v>
      </c>
      <c r="C213" s="18">
        <v>205</v>
      </c>
      <c r="D213" s="27">
        <f t="shared" si="11"/>
        <v>0</v>
      </c>
      <c r="E213" s="17" t="e">
        <f t="shared" si="9"/>
        <v>#NUM!</v>
      </c>
      <c r="F213" s="17" t="e">
        <f t="shared" si="10"/>
        <v>#NUM!</v>
      </c>
      <c r="G213" s="25">
        <f>IF(G212&lt;0.1,0,$E$4-SUM($E$9:E213))</f>
        <v>0</v>
      </c>
      <c r="H213" s="466">
        <f>+G224</f>
        <v>0</v>
      </c>
      <c r="I213" s="33"/>
    </row>
    <row r="214" spans="1:9" ht="13.5">
      <c r="A214" s="33"/>
      <c r="B214" s="469"/>
      <c r="C214" s="18">
        <v>206</v>
      </c>
      <c r="D214" s="27">
        <f t="shared" si="11"/>
        <v>0</v>
      </c>
      <c r="E214" s="17" t="e">
        <f t="shared" si="9"/>
        <v>#NUM!</v>
      </c>
      <c r="F214" s="17" t="e">
        <f t="shared" si="10"/>
        <v>#NUM!</v>
      </c>
      <c r="G214" s="25">
        <f>IF(G213&lt;0.1,0,$E$4-SUM($E$9:E214))</f>
        <v>0</v>
      </c>
      <c r="H214" s="467"/>
      <c r="I214" s="33"/>
    </row>
    <row r="215" spans="1:9" ht="13.5">
      <c r="A215" s="33"/>
      <c r="B215" s="469"/>
      <c r="C215" s="18">
        <v>207</v>
      </c>
      <c r="D215" s="27">
        <f t="shared" si="11"/>
        <v>0</v>
      </c>
      <c r="E215" s="17" t="e">
        <f t="shared" si="9"/>
        <v>#NUM!</v>
      </c>
      <c r="F215" s="17" t="e">
        <f t="shared" si="10"/>
        <v>#NUM!</v>
      </c>
      <c r="G215" s="25">
        <f>IF(G214&lt;0.1,0,$E$4-SUM($E$9:E215))</f>
        <v>0</v>
      </c>
      <c r="H215" s="467"/>
      <c r="I215" s="33"/>
    </row>
    <row r="216" spans="1:9" ht="13.5">
      <c r="A216" s="33"/>
      <c r="B216" s="469"/>
      <c r="C216" s="18">
        <v>208</v>
      </c>
      <c r="D216" s="27">
        <f t="shared" si="11"/>
        <v>0</v>
      </c>
      <c r="E216" s="17" t="e">
        <f t="shared" si="9"/>
        <v>#NUM!</v>
      </c>
      <c r="F216" s="17" t="e">
        <f t="shared" si="10"/>
        <v>#NUM!</v>
      </c>
      <c r="G216" s="25">
        <f>IF(G215&lt;0.1,0,$E$4-SUM($E$9:E216))</f>
        <v>0</v>
      </c>
      <c r="H216" s="467"/>
      <c r="I216" s="33"/>
    </row>
    <row r="217" spans="1:9" ht="13.5">
      <c r="A217" s="33"/>
      <c r="B217" s="469"/>
      <c r="C217" s="18">
        <v>209</v>
      </c>
      <c r="D217" s="27">
        <f t="shared" si="11"/>
        <v>0</v>
      </c>
      <c r="E217" s="17" t="e">
        <f t="shared" si="9"/>
        <v>#NUM!</v>
      </c>
      <c r="F217" s="17" t="e">
        <f t="shared" si="10"/>
        <v>#NUM!</v>
      </c>
      <c r="G217" s="25">
        <f>IF(G216&lt;0.1,0,$E$4-SUM($E$9:E217))</f>
        <v>0</v>
      </c>
      <c r="H217" s="467"/>
      <c r="I217" s="33"/>
    </row>
    <row r="218" spans="1:9" ht="13.5">
      <c r="A218" s="33"/>
      <c r="B218" s="469"/>
      <c r="C218" s="18">
        <v>210</v>
      </c>
      <c r="D218" s="27">
        <f t="shared" si="11"/>
        <v>0</v>
      </c>
      <c r="E218" s="17" t="e">
        <f t="shared" si="9"/>
        <v>#NUM!</v>
      </c>
      <c r="F218" s="17" t="e">
        <f t="shared" si="10"/>
        <v>#NUM!</v>
      </c>
      <c r="G218" s="25">
        <f>IF(G217&lt;0.1,0,$E$4-SUM($E$9:E218))</f>
        <v>0</v>
      </c>
      <c r="H218" s="467"/>
      <c r="I218" s="33"/>
    </row>
    <row r="219" spans="1:9" ht="13.5">
      <c r="A219" s="33"/>
      <c r="B219" s="469"/>
      <c r="C219" s="18">
        <v>211</v>
      </c>
      <c r="D219" s="27">
        <f t="shared" si="11"/>
        <v>0</v>
      </c>
      <c r="E219" s="17" t="e">
        <f t="shared" si="9"/>
        <v>#NUM!</v>
      </c>
      <c r="F219" s="17" t="e">
        <f t="shared" si="10"/>
        <v>#NUM!</v>
      </c>
      <c r="G219" s="25">
        <f>IF(G218&lt;0.1,0,$E$4-SUM($E$9:E219))</f>
        <v>0</v>
      </c>
      <c r="H219" s="467"/>
      <c r="I219" s="33"/>
    </row>
    <row r="220" spans="1:9" ht="13.5">
      <c r="A220" s="33"/>
      <c r="B220" s="469"/>
      <c r="C220" s="18">
        <v>212</v>
      </c>
      <c r="D220" s="27">
        <f t="shared" si="11"/>
        <v>0</v>
      </c>
      <c r="E220" s="17" t="e">
        <f t="shared" si="9"/>
        <v>#NUM!</v>
      </c>
      <c r="F220" s="17" t="e">
        <f t="shared" si="10"/>
        <v>#NUM!</v>
      </c>
      <c r="G220" s="25">
        <f>IF(G219&lt;0.1,0,$E$4-SUM($E$9:E220))</f>
        <v>0</v>
      </c>
      <c r="H220" s="467"/>
      <c r="I220" s="33"/>
    </row>
    <row r="221" spans="1:9" ht="13.5">
      <c r="A221" s="33"/>
      <c r="B221" s="469"/>
      <c r="C221" s="18">
        <v>213</v>
      </c>
      <c r="D221" s="27">
        <f t="shared" si="11"/>
        <v>0</v>
      </c>
      <c r="E221" s="17" t="e">
        <f t="shared" si="9"/>
        <v>#NUM!</v>
      </c>
      <c r="F221" s="17" t="e">
        <f t="shared" si="10"/>
        <v>#NUM!</v>
      </c>
      <c r="G221" s="25">
        <f>IF(G220&lt;0.1,0,$E$4-SUM($E$9:E221))</f>
        <v>0</v>
      </c>
      <c r="H221" s="467"/>
      <c r="I221" s="33"/>
    </row>
    <row r="222" spans="1:9" ht="13.5">
      <c r="A222" s="33"/>
      <c r="B222" s="469"/>
      <c r="C222" s="18">
        <v>214</v>
      </c>
      <c r="D222" s="27">
        <f t="shared" si="11"/>
        <v>0</v>
      </c>
      <c r="E222" s="17" t="e">
        <f t="shared" si="9"/>
        <v>#NUM!</v>
      </c>
      <c r="F222" s="17" t="e">
        <f t="shared" si="10"/>
        <v>#NUM!</v>
      </c>
      <c r="G222" s="25">
        <f>IF(G221&lt;0.1,0,$E$4-SUM($E$9:E222))</f>
        <v>0</v>
      </c>
      <c r="H222" s="467"/>
      <c r="I222" s="33"/>
    </row>
    <row r="223" spans="1:9" ht="13.5">
      <c r="A223" s="33"/>
      <c r="B223" s="469"/>
      <c r="C223" s="18">
        <v>215</v>
      </c>
      <c r="D223" s="27">
        <f t="shared" si="11"/>
        <v>0</v>
      </c>
      <c r="E223" s="17" t="e">
        <f t="shared" si="9"/>
        <v>#NUM!</v>
      </c>
      <c r="F223" s="17" t="e">
        <f t="shared" si="10"/>
        <v>#NUM!</v>
      </c>
      <c r="G223" s="25">
        <f>IF(G222&lt;0.1,0,$E$4-SUM($E$9:E223))</f>
        <v>0</v>
      </c>
      <c r="H223" s="467"/>
      <c r="I223" s="33"/>
    </row>
    <row r="224" spans="1:9" ht="14.25" thickBot="1">
      <c r="A224" s="33"/>
      <c r="B224" s="469"/>
      <c r="C224" s="18">
        <v>216</v>
      </c>
      <c r="D224" s="27">
        <f t="shared" si="11"/>
        <v>0</v>
      </c>
      <c r="E224" s="17" t="e">
        <f t="shared" si="9"/>
        <v>#NUM!</v>
      </c>
      <c r="F224" s="17" t="e">
        <f t="shared" si="10"/>
        <v>#NUM!</v>
      </c>
      <c r="G224" s="25">
        <f>IF(G223&lt;0.1,0,$E$4-SUM($E$9:E224))</f>
        <v>0</v>
      </c>
      <c r="H224" s="468"/>
      <c r="I224" s="33"/>
    </row>
    <row r="225" spans="1:9" ht="13.5">
      <c r="A225" s="33"/>
      <c r="B225" s="469" t="s">
        <v>149</v>
      </c>
      <c r="C225" s="18">
        <v>217</v>
      </c>
      <c r="D225" s="27">
        <f t="shared" si="11"/>
        <v>0</v>
      </c>
      <c r="E225" s="17" t="e">
        <f t="shared" si="9"/>
        <v>#NUM!</v>
      </c>
      <c r="F225" s="17" t="e">
        <f t="shared" si="10"/>
        <v>#NUM!</v>
      </c>
      <c r="G225" s="25">
        <f>IF(G224&lt;0.1,0,$E$4-SUM($E$9:E225))</f>
        <v>0</v>
      </c>
      <c r="H225" s="466">
        <f>+G236</f>
        <v>0</v>
      </c>
      <c r="I225" s="33"/>
    </row>
    <row r="226" spans="1:9" ht="13.5">
      <c r="A226" s="33"/>
      <c r="B226" s="469"/>
      <c r="C226" s="18">
        <v>218</v>
      </c>
      <c r="D226" s="27">
        <f t="shared" si="11"/>
        <v>0</v>
      </c>
      <c r="E226" s="17" t="e">
        <f t="shared" si="9"/>
        <v>#NUM!</v>
      </c>
      <c r="F226" s="17" t="e">
        <f t="shared" si="10"/>
        <v>#NUM!</v>
      </c>
      <c r="G226" s="25">
        <f>IF(G225&lt;0.1,0,$E$4-SUM($E$9:E226))</f>
        <v>0</v>
      </c>
      <c r="H226" s="467"/>
      <c r="I226" s="33"/>
    </row>
    <row r="227" spans="1:9" ht="13.5">
      <c r="A227" s="33"/>
      <c r="B227" s="469"/>
      <c r="C227" s="18">
        <v>219</v>
      </c>
      <c r="D227" s="27">
        <f t="shared" si="11"/>
        <v>0</v>
      </c>
      <c r="E227" s="17" t="e">
        <f t="shared" si="9"/>
        <v>#NUM!</v>
      </c>
      <c r="F227" s="17" t="e">
        <f t="shared" si="10"/>
        <v>#NUM!</v>
      </c>
      <c r="G227" s="25">
        <f>IF(G226&lt;0.1,0,$E$4-SUM($E$9:E227))</f>
        <v>0</v>
      </c>
      <c r="H227" s="467"/>
      <c r="I227" s="33"/>
    </row>
    <row r="228" spans="1:9" ht="13.5">
      <c r="A228" s="33"/>
      <c r="B228" s="469"/>
      <c r="C228" s="18">
        <v>220</v>
      </c>
      <c r="D228" s="27">
        <f t="shared" si="11"/>
        <v>0</v>
      </c>
      <c r="E228" s="17" t="e">
        <f t="shared" si="9"/>
        <v>#NUM!</v>
      </c>
      <c r="F228" s="17" t="e">
        <f t="shared" si="10"/>
        <v>#NUM!</v>
      </c>
      <c r="G228" s="25">
        <f>IF(G227&lt;0.1,0,$E$4-SUM($E$9:E228))</f>
        <v>0</v>
      </c>
      <c r="H228" s="467"/>
      <c r="I228" s="33"/>
    </row>
    <row r="229" spans="1:9" ht="13.5">
      <c r="A229" s="33"/>
      <c r="B229" s="469"/>
      <c r="C229" s="18">
        <v>221</v>
      </c>
      <c r="D229" s="27">
        <f t="shared" si="11"/>
        <v>0</v>
      </c>
      <c r="E229" s="17" t="e">
        <f t="shared" si="9"/>
        <v>#NUM!</v>
      </c>
      <c r="F229" s="17" t="e">
        <f t="shared" si="10"/>
        <v>#NUM!</v>
      </c>
      <c r="G229" s="25">
        <f>IF(G228&lt;0.1,0,$E$4-SUM($E$9:E229))</f>
        <v>0</v>
      </c>
      <c r="H229" s="467"/>
      <c r="I229" s="33"/>
    </row>
    <row r="230" spans="1:9" ht="13.5">
      <c r="A230" s="33"/>
      <c r="B230" s="469"/>
      <c r="C230" s="18">
        <v>222</v>
      </c>
      <c r="D230" s="27">
        <f t="shared" si="11"/>
        <v>0</v>
      </c>
      <c r="E230" s="17" t="e">
        <f t="shared" si="9"/>
        <v>#NUM!</v>
      </c>
      <c r="F230" s="17" t="e">
        <f t="shared" si="10"/>
        <v>#NUM!</v>
      </c>
      <c r="G230" s="25">
        <f>IF(G229&lt;0.1,0,$E$4-SUM($E$9:E230))</f>
        <v>0</v>
      </c>
      <c r="H230" s="467"/>
      <c r="I230" s="33"/>
    </row>
    <row r="231" spans="1:9" ht="13.5">
      <c r="A231" s="33"/>
      <c r="B231" s="469"/>
      <c r="C231" s="18">
        <v>223</v>
      </c>
      <c r="D231" s="27">
        <f t="shared" si="11"/>
        <v>0</v>
      </c>
      <c r="E231" s="17" t="e">
        <f t="shared" si="9"/>
        <v>#NUM!</v>
      </c>
      <c r="F231" s="17" t="e">
        <f t="shared" si="10"/>
        <v>#NUM!</v>
      </c>
      <c r="G231" s="25">
        <f>IF(G230&lt;0.1,0,$E$4-SUM($E$9:E231))</f>
        <v>0</v>
      </c>
      <c r="H231" s="467"/>
      <c r="I231" s="33"/>
    </row>
    <row r="232" spans="1:9" ht="13.5">
      <c r="A232" s="33"/>
      <c r="B232" s="469"/>
      <c r="C232" s="18">
        <v>224</v>
      </c>
      <c r="D232" s="27">
        <f t="shared" si="11"/>
        <v>0</v>
      </c>
      <c r="E232" s="17" t="e">
        <f t="shared" si="9"/>
        <v>#NUM!</v>
      </c>
      <c r="F232" s="17" t="e">
        <f t="shared" si="10"/>
        <v>#NUM!</v>
      </c>
      <c r="G232" s="25">
        <f>IF(G231&lt;0.1,0,$E$4-SUM($E$9:E232))</f>
        <v>0</v>
      </c>
      <c r="H232" s="467"/>
      <c r="I232" s="33"/>
    </row>
    <row r="233" spans="1:9" ht="13.5">
      <c r="A233" s="33"/>
      <c r="B233" s="469"/>
      <c r="C233" s="18">
        <v>225</v>
      </c>
      <c r="D233" s="27">
        <f t="shared" si="11"/>
        <v>0</v>
      </c>
      <c r="E233" s="17" t="e">
        <f t="shared" si="9"/>
        <v>#NUM!</v>
      </c>
      <c r="F233" s="17" t="e">
        <f t="shared" si="10"/>
        <v>#NUM!</v>
      </c>
      <c r="G233" s="25">
        <f>IF(G232&lt;0.1,0,$E$4-SUM($E$9:E233))</f>
        <v>0</v>
      </c>
      <c r="H233" s="467"/>
      <c r="I233" s="33"/>
    </row>
    <row r="234" spans="1:9" ht="13.5">
      <c r="A234" s="33"/>
      <c r="B234" s="469"/>
      <c r="C234" s="18">
        <v>226</v>
      </c>
      <c r="D234" s="27">
        <f t="shared" si="11"/>
        <v>0</v>
      </c>
      <c r="E234" s="17" t="e">
        <f t="shared" si="9"/>
        <v>#NUM!</v>
      </c>
      <c r="F234" s="17" t="e">
        <f t="shared" si="10"/>
        <v>#NUM!</v>
      </c>
      <c r="G234" s="25">
        <f>IF(G233&lt;0.1,0,$E$4-SUM($E$9:E234))</f>
        <v>0</v>
      </c>
      <c r="H234" s="467"/>
      <c r="I234" s="33"/>
    </row>
    <row r="235" spans="1:9" ht="13.5">
      <c r="A235" s="33"/>
      <c r="B235" s="469"/>
      <c r="C235" s="18">
        <v>227</v>
      </c>
      <c r="D235" s="27">
        <f t="shared" si="11"/>
        <v>0</v>
      </c>
      <c r="E235" s="17" t="e">
        <f t="shared" si="9"/>
        <v>#NUM!</v>
      </c>
      <c r="F235" s="17" t="e">
        <f t="shared" si="10"/>
        <v>#NUM!</v>
      </c>
      <c r="G235" s="25">
        <f>IF(G234&lt;0.1,0,$E$4-SUM($E$9:E235))</f>
        <v>0</v>
      </c>
      <c r="H235" s="467"/>
      <c r="I235" s="33"/>
    </row>
    <row r="236" spans="1:9" ht="14.25" thickBot="1">
      <c r="A236" s="33"/>
      <c r="B236" s="469"/>
      <c r="C236" s="18">
        <v>228</v>
      </c>
      <c r="D236" s="27">
        <f t="shared" si="11"/>
        <v>0</v>
      </c>
      <c r="E236" s="17" t="e">
        <f t="shared" si="9"/>
        <v>#NUM!</v>
      </c>
      <c r="F236" s="17" t="e">
        <f t="shared" si="10"/>
        <v>#NUM!</v>
      </c>
      <c r="G236" s="25">
        <f>IF(G235&lt;0.1,0,$E$4-SUM($E$9:E236))</f>
        <v>0</v>
      </c>
      <c r="H236" s="468"/>
      <c r="I236" s="33"/>
    </row>
    <row r="237" spans="1:9" ht="13.5">
      <c r="A237" s="33"/>
      <c r="B237" s="469" t="s">
        <v>150</v>
      </c>
      <c r="C237" s="18">
        <v>229</v>
      </c>
      <c r="D237" s="27">
        <f t="shared" si="11"/>
        <v>0</v>
      </c>
      <c r="E237" s="17" t="e">
        <f t="shared" si="9"/>
        <v>#NUM!</v>
      </c>
      <c r="F237" s="17" t="e">
        <f t="shared" si="10"/>
        <v>#NUM!</v>
      </c>
      <c r="G237" s="25">
        <f>IF(G236&lt;0.1,0,$E$4-SUM($E$9:E237))</f>
        <v>0</v>
      </c>
      <c r="H237" s="466">
        <f>+G248</f>
        <v>0</v>
      </c>
      <c r="I237" s="33"/>
    </row>
    <row r="238" spans="1:9" ht="13.5">
      <c r="A238" s="33"/>
      <c r="B238" s="469"/>
      <c r="C238" s="18">
        <v>230</v>
      </c>
      <c r="D238" s="27">
        <f t="shared" si="11"/>
        <v>0</v>
      </c>
      <c r="E238" s="17" t="e">
        <f t="shared" si="9"/>
        <v>#NUM!</v>
      </c>
      <c r="F238" s="17" t="e">
        <f t="shared" si="10"/>
        <v>#NUM!</v>
      </c>
      <c r="G238" s="25">
        <f>IF(G237&lt;0.1,0,$E$4-SUM($E$9:E238))</f>
        <v>0</v>
      </c>
      <c r="H238" s="467"/>
      <c r="I238" s="33"/>
    </row>
    <row r="239" spans="1:9" ht="13.5">
      <c r="A239" s="33"/>
      <c r="B239" s="469"/>
      <c r="C239" s="18">
        <v>231</v>
      </c>
      <c r="D239" s="27">
        <f t="shared" si="11"/>
        <v>0</v>
      </c>
      <c r="E239" s="17" t="e">
        <f t="shared" si="9"/>
        <v>#NUM!</v>
      </c>
      <c r="F239" s="17" t="e">
        <f t="shared" si="10"/>
        <v>#NUM!</v>
      </c>
      <c r="G239" s="25">
        <f>IF(G238&lt;0.1,0,$E$4-SUM($E$9:E239))</f>
        <v>0</v>
      </c>
      <c r="H239" s="467"/>
      <c r="I239" s="33"/>
    </row>
    <row r="240" spans="1:9" ht="13.5">
      <c r="A240" s="33"/>
      <c r="B240" s="469"/>
      <c r="C240" s="18">
        <v>232</v>
      </c>
      <c r="D240" s="27">
        <f t="shared" si="11"/>
        <v>0</v>
      </c>
      <c r="E240" s="17" t="e">
        <f t="shared" si="9"/>
        <v>#NUM!</v>
      </c>
      <c r="F240" s="17" t="e">
        <f t="shared" si="10"/>
        <v>#NUM!</v>
      </c>
      <c r="G240" s="25">
        <f>IF(G239&lt;0.1,0,$E$4-SUM($E$9:E240))</f>
        <v>0</v>
      </c>
      <c r="H240" s="467"/>
      <c r="I240" s="33"/>
    </row>
    <row r="241" spans="1:9" ht="13.5">
      <c r="A241" s="33"/>
      <c r="B241" s="469"/>
      <c r="C241" s="18">
        <v>233</v>
      </c>
      <c r="D241" s="27">
        <f t="shared" si="11"/>
        <v>0</v>
      </c>
      <c r="E241" s="17" t="e">
        <f t="shared" si="9"/>
        <v>#NUM!</v>
      </c>
      <c r="F241" s="17" t="e">
        <f t="shared" si="10"/>
        <v>#NUM!</v>
      </c>
      <c r="G241" s="25">
        <f>IF(G240&lt;0.1,0,$E$4-SUM($E$9:E241))</f>
        <v>0</v>
      </c>
      <c r="H241" s="467"/>
      <c r="I241" s="33"/>
    </row>
    <row r="242" spans="1:9" ht="13.5">
      <c r="A242" s="33"/>
      <c r="B242" s="469"/>
      <c r="C242" s="18">
        <v>234</v>
      </c>
      <c r="D242" s="27">
        <f t="shared" si="11"/>
        <v>0</v>
      </c>
      <c r="E242" s="17" t="e">
        <f t="shared" si="9"/>
        <v>#NUM!</v>
      </c>
      <c r="F242" s="17" t="e">
        <f t="shared" si="10"/>
        <v>#NUM!</v>
      </c>
      <c r="G242" s="25">
        <f>IF(G241&lt;0.1,0,$E$4-SUM($E$9:E242))</f>
        <v>0</v>
      </c>
      <c r="H242" s="467"/>
      <c r="I242" s="33"/>
    </row>
    <row r="243" spans="1:9" ht="13.5">
      <c r="A243" s="33"/>
      <c r="B243" s="469"/>
      <c r="C243" s="18">
        <v>235</v>
      </c>
      <c r="D243" s="27">
        <f t="shared" si="11"/>
        <v>0</v>
      </c>
      <c r="E243" s="17" t="e">
        <f t="shared" si="9"/>
        <v>#NUM!</v>
      </c>
      <c r="F243" s="17" t="e">
        <f t="shared" si="10"/>
        <v>#NUM!</v>
      </c>
      <c r="G243" s="25">
        <f>IF(G242&lt;0.1,0,$E$4-SUM($E$9:E243))</f>
        <v>0</v>
      </c>
      <c r="H243" s="467"/>
      <c r="I243" s="33"/>
    </row>
    <row r="244" spans="1:9" ht="13.5">
      <c r="A244" s="33"/>
      <c r="B244" s="469"/>
      <c r="C244" s="18">
        <v>236</v>
      </c>
      <c r="D244" s="27">
        <f t="shared" si="11"/>
        <v>0</v>
      </c>
      <c r="E244" s="17" t="e">
        <f t="shared" si="9"/>
        <v>#NUM!</v>
      </c>
      <c r="F244" s="17" t="e">
        <f t="shared" si="10"/>
        <v>#NUM!</v>
      </c>
      <c r="G244" s="25">
        <f>IF(G243&lt;0.1,0,$E$4-SUM($E$9:E244))</f>
        <v>0</v>
      </c>
      <c r="H244" s="467"/>
      <c r="I244" s="33"/>
    </row>
    <row r="245" spans="1:9" ht="13.5">
      <c r="A245" s="33"/>
      <c r="B245" s="469"/>
      <c r="C245" s="18">
        <v>237</v>
      </c>
      <c r="D245" s="27">
        <f t="shared" si="11"/>
        <v>0</v>
      </c>
      <c r="E245" s="17" t="e">
        <f t="shared" si="9"/>
        <v>#NUM!</v>
      </c>
      <c r="F245" s="17" t="e">
        <f t="shared" si="10"/>
        <v>#NUM!</v>
      </c>
      <c r="G245" s="25">
        <f>IF(G244&lt;0.1,0,$E$4-SUM($E$9:E245))</f>
        <v>0</v>
      </c>
      <c r="H245" s="467"/>
      <c r="I245" s="33"/>
    </row>
    <row r="246" spans="1:9" ht="13.5">
      <c r="A246" s="33"/>
      <c r="B246" s="469"/>
      <c r="C246" s="18">
        <v>238</v>
      </c>
      <c r="D246" s="27">
        <f t="shared" si="11"/>
        <v>0</v>
      </c>
      <c r="E246" s="17" t="e">
        <f t="shared" si="9"/>
        <v>#NUM!</v>
      </c>
      <c r="F246" s="17" t="e">
        <f t="shared" si="10"/>
        <v>#NUM!</v>
      </c>
      <c r="G246" s="25">
        <f>IF(G245&lt;0.1,0,$E$4-SUM($E$9:E246))</f>
        <v>0</v>
      </c>
      <c r="H246" s="467"/>
      <c r="I246" s="33"/>
    </row>
    <row r="247" spans="1:9" ht="13.5">
      <c r="A247" s="33"/>
      <c r="B247" s="469"/>
      <c r="C247" s="18">
        <v>239</v>
      </c>
      <c r="D247" s="27">
        <f t="shared" si="11"/>
        <v>0</v>
      </c>
      <c r="E247" s="17" t="e">
        <f t="shared" si="9"/>
        <v>#NUM!</v>
      </c>
      <c r="F247" s="17" t="e">
        <f t="shared" si="10"/>
        <v>#NUM!</v>
      </c>
      <c r="G247" s="25">
        <f>IF(G246&lt;0.1,0,$E$4-SUM($E$9:E247))</f>
        <v>0</v>
      </c>
      <c r="H247" s="467"/>
      <c r="I247" s="33"/>
    </row>
    <row r="248" spans="1:9" ht="14.25" thickBot="1">
      <c r="A248" s="33"/>
      <c r="B248" s="469"/>
      <c r="C248" s="18">
        <v>240</v>
      </c>
      <c r="D248" s="27">
        <f t="shared" si="11"/>
        <v>0</v>
      </c>
      <c r="E248" s="17" t="e">
        <f t="shared" si="9"/>
        <v>#NUM!</v>
      </c>
      <c r="F248" s="17" t="e">
        <f t="shared" si="10"/>
        <v>#NUM!</v>
      </c>
      <c r="G248" s="25">
        <f>IF(G247&lt;0.1,0,$E$4-SUM($E$9:E248))</f>
        <v>0</v>
      </c>
      <c r="H248" s="468"/>
      <c r="I248" s="33"/>
    </row>
    <row r="249" spans="1:9" ht="13.5">
      <c r="A249" s="33"/>
      <c r="B249" s="469" t="s">
        <v>151</v>
      </c>
      <c r="C249" s="18">
        <v>241</v>
      </c>
      <c r="D249" s="27">
        <f t="shared" si="11"/>
        <v>0</v>
      </c>
      <c r="E249" s="17" t="e">
        <f t="shared" si="9"/>
        <v>#NUM!</v>
      </c>
      <c r="F249" s="17" t="e">
        <f t="shared" si="10"/>
        <v>#NUM!</v>
      </c>
      <c r="G249" s="25">
        <f>IF(G248&lt;0.1,0,$E$4-SUM($E$9:E249))</f>
        <v>0</v>
      </c>
      <c r="H249" s="466">
        <f>+G260</f>
        <v>0</v>
      </c>
      <c r="I249" s="33"/>
    </row>
    <row r="250" spans="1:9" ht="13.5">
      <c r="A250" s="33"/>
      <c r="B250" s="469"/>
      <c r="C250" s="18">
        <v>242</v>
      </c>
      <c r="D250" s="27">
        <f t="shared" si="11"/>
        <v>0</v>
      </c>
      <c r="E250" s="17" t="e">
        <f t="shared" si="9"/>
        <v>#NUM!</v>
      </c>
      <c r="F250" s="17" t="e">
        <f t="shared" si="10"/>
        <v>#NUM!</v>
      </c>
      <c r="G250" s="25">
        <f>IF(G249&lt;0.1,0,$E$4-SUM($E$9:E250))</f>
        <v>0</v>
      </c>
      <c r="H250" s="467"/>
      <c r="I250" s="33"/>
    </row>
    <row r="251" spans="1:9" ht="13.5">
      <c r="A251" s="33"/>
      <c r="B251" s="469"/>
      <c r="C251" s="18">
        <v>243</v>
      </c>
      <c r="D251" s="27">
        <f t="shared" si="11"/>
        <v>0</v>
      </c>
      <c r="E251" s="17" t="e">
        <f t="shared" si="9"/>
        <v>#NUM!</v>
      </c>
      <c r="F251" s="17" t="e">
        <f t="shared" si="10"/>
        <v>#NUM!</v>
      </c>
      <c r="G251" s="25">
        <f>IF(G250&lt;0.1,0,$E$4-SUM($E$9:E251))</f>
        <v>0</v>
      </c>
      <c r="H251" s="467"/>
      <c r="I251" s="33"/>
    </row>
    <row r="252" spans="1:9" ht="13.5">
      <c r="A252" s="33"/>
      <c r="B252" s="469"/>
      <c r="C252" s="18">
        <v>244</v>
      </c>
      <c r="D252" s="27">
        <f t="shared" si="11"/>
        <v>0</v>
      </c>
      <c r="E252" s="17" t="e">
        <f t="shared" si="9"/>
        <v>#NUM!</v>
      </c>
      <c r="F252" s="17" t="e">
        <f t="shared" si="10"/>
        <v>#NUM!</v>
      </c>
      <c r="G252" s="25">
        <f>IF(G251&lt;0.1,0,$E$4-SUM($E$9:E252))</f>
        <v>0</v>
      </c>
      <c r="H252" s="467"/>
      <c r="I252" s="33"/>
    </row>
    <row r="253" spans="1:9" ht="13.5">
      <c r="A253" s="33"/>
      <c r="B253" s="469"/>
      <c r="C253" s="18">
        <v>245</v>
      </c>
      <c r="D253" s="27">
        <f t="shared" si="11"/>
        <v>0</v>
      </c>
      <c r="E253" s="17" t="e">
        <f t="shared" si="9"/>
        <v>#NUM!</v>
      </c>
      <c r="F253" s="17" t="e">
        <f t="shared" si="10"/>
        <v>#NUM!</v>
      </c>
      <c r="G253" s="25">
        <f>IF(G252&lt;0.1,0,$E$4-SUM($E$9:E253))</f>
        <v>0</v>
      </c>
      <c r="H253" s="467"/>
      <c r="I253" s="33"/>
    </row>
    <row r="254" spans="1:9" ht="13.5">
      <c r="A254" s="33"/>
      <c r="B254" s="469"/>
      <c r="C254" s="18">
        <v>246</v>
      </c>
      <c r="D254" s="27">
        <f t="shared" si="11"/>
        <v>0</v>
      </c>
      <c r="E254" s="17" t="e">
        <f t="shared" si="9"/>
        <v>#NUM!</v>
      </c>
      <c r="F254" s="17" t="e">
        <f t="shared" si="10"/>
        <v>#NUM!</v>
      </c>
      <c r="G254" s="25">
        <f>IF(G253&lt;0.1,0,$E$4-SUM($E$9:E254))</f>
        <v>0</v>
      </c>
      <c r="H254" s="467"/>
      <c r="I254" s="33"/>
    </row>
    <row r="255" spans="1:9" ht="13.5">
      <c r="A255" s="33"/>
      <c r="B255" s="469"/>
      <c r="C255" s="18">
        <v>247</v>
      </c>
      <c r="D255" s="27">
        <f t="shared" si="11"/>
        <v>0</v>
      </c>
      <c r="E255" s="17" t="e">
        <f t="shared" si="9"/>
        <v>#NUM!</v>
      </c>
      <c r="F255" s="17" t="e">
        <f t="shared" si="10"/>
        <v>#NUM!</v>
      </c>
      <c r="G255" s="25">
        <f>IF(G254&lt;0.1,0,$E$4-SUM($E$9:E255))</f>
        <v>0</v>
      </c>
      <c r="H255" s="467"/>
      <c r="I255" s="33"/>
    </row>
    <row r="256" spans="1:9" ht="13.5">
      <c r="A256" s="33"/>
      <c r="B256" s="469"/>
      <c r="C256" s="18">
        <v>248</v>
      </c>
      <c r="D256" s="27">
        <f t="shared" si="11"/>
        <v>0</v>
      </c>
      <c r="E256" s="17" t="e">
        <f t="shared" si="9"/>
        <v>#NUM!</v>
      </c>
      <c r="F256" s="17" t="e">
        <f t="shared" si="10"/>
        <v>#NUM!</v>
      </c>
      <c r="G256" s="25">
        <f>IF(G255&lt;0.1,0,$E$4-SUM($E$9:E256))</f>
        <v>0</v>
      </c>
      <c r="H256" s="467"/>
      <c r="I256" s="33"/>
    </row>
    <row r="257" spans="1:9" ht="13.5">
      <c r="A257" s="33"/>
      <c r="B257" s="469"/>
      <c r="C257" s="18">
        <v>249</v>
      </c>
      <c r="D257" s="27">
        <f t="shared" si="11"/>
        <v>0</v>
      </c>
      <c r="E257" s="17" t="e">
        <f t="shared" si="9"/>
        <v>#NUM!</v>
      </c>
      <c r="F257" s="17" t="e">
        <f t="shared" si="10"/>
        <v>#NUM!</v>
      </c>
      <c r="G257" s="25">
        <f>IF(G256&lt;0.1,0,$E$4-SUM($E$9:E257))</f>
        <v>0</v>
      </c>
      <c r="H257" s="467"/>
      <c r="I257" s="33"/>
    </row>
    <row r="258" spans="1:9" ht="13.5">
      <c r="A258" s="33"/>
      <c r="B258" s="469"/>
      <c r="C258" s="18">
        <v>250</v>
      </c>
      <c r="D258" s="27">
        <f t="shared" si="11"/>
        <v>0</v>
      </c>
      <c r="E258" s="17" t="e">
        <f t="shared" si="9"/>
        <v>#NUM!</v>
      </c>
      <c r="F258" s="17" t="e">
        <f t="shared" si="10"/>
        <v>#NUM!</v>
      </c>
      <c r="G258" s="25">
        <f>IF(G257&lt;0.1,0,$E$4-SUM($E$9:E258))</f>
        <v>0</v>
      </c>
      <c r="H258" s="467"/>
      <c r="I258" s="33"/>
    </row>
    <row r="259" spans="1:9" ht="13.5">
      <c r="A259" s="33"/>
      <c r="B259" s="469"/>
      <c r="C259" s="18">
        <v>251</v>
      </c>
      <c r="D259" s="27">
        <f t="shared" si="11"/>
        <v>0</v>
      </c>
      <c r="E259" s="17" t="e">
        <f t="shared" si="9"/>
        <v>#NUM!</v>
      </c>
      <c r="F259" s="17" t="e">
        <f t="shared" si="10"/>
        <v>#NUM!</v>
      </c>
      <c r="G259" s="25">
        <f>IF(G258&lt;0.1,0,$E$4-SUM($E$9:E259))</f>
        <v>0</v>
      </c>
      <c r="H259" s="467"/>
      <c r="I259" s="33"/>
    </row>
    <row r="260" spans="1:9" ht="14.25" thickBot="1">
      <c r="A260" s="33"/>
      <c r="B260" s="469"/>
      <c r="C260" s="18">
        <v>252</v>
      </c>
      <c r="D260" s="27">
        <f t="shared" si="11"/>
        <v>0</v>
      </c>
      <c r="E260" s="17" t="e">
        <f t="shared" si="9"/>
        <v>#NUM!</v>
      </c>
      <c r="F260" s="17" t="e">
        <f t="shared" si="10"/>
        <v>#NUM!</v>
      </c>
      <c r="G260" s="25">
        <f>IF(G259&lt;0.1,0,$E$4-SUM($E$9:E260))</f>
        <v>0</v>
      </c>
      <c r="H260" s="468"/>
      <c r="I260" s="33"/>
    </row>
    <row r="261" spans="1:9" ht="13.5">
      <c r="A261" s="33"/>
      <c r="B261" s="469" t="s">
        <v>152</v>
      </c>
      <c r="C261" s="18">
        <v>253</v>
      </c>
      <c r="D261" s="27">
        <f t="shared" si="11"/>
        <v>0</v>
      </c>
      <c r="E261" s="17" t="e">
        <f t="shared" si="9"/>
        <v>#NUM!</v>
      </c>
      <c r="F261" s="17" t="e">
        <f t="shared" si="10"/>
        <v>#NUM!</v>
      </c>
      <c r="G261" s="25">
        <f>IF(G260&lt;0.1,0,$E$4-SUM($E$9:E261))</f>
        <v>0</v>
      </c>
      <c r="H261" s="466">
        <f>+G272</f>
        <v>0</v>
      </c>
      <c r="I261" s="33"/>
    </row>
    <row r="262" spans="1:9" ht="13.5">
      <c r="A262" s="33"/>
      <c r="B262" s="469"/>
      <c r="C262" s="18">
        <v>254</v>
      </c>
      <c r="D262" s="27">
        <f t="shared" si="11"/>
        <v>0</v>
      </c>
      <c r="E262" s="17" t="e">
        <f t="shared" si="9"/>
        <v>#NUM!</v>
      </c>
      <c r="F262" s="17" t="e">
        <f t="shared" si="10"/>
        <v>#NUM!</v>
      </c>
      <c r="G262" s="25">
        <f>IF(G261&lt;0.1,0,$E$4-SUM($E$9:E262))</f>
        <v>0</v>
      </c>
      <c r="H262" s="467"/>
      <c r="I262" s="33"/>
    </row>
    <row r="263" spans="1:9" ht="13.5">
      <c r="A263" s="33"/>
      <c r="B263" s="469"/>
      <c r="C263" s="18">
        <v>255</v>
      </c>
      <c r="D263" s="27">
        <f t="shared" si="11"/>
        <v>0</v>
      </c>
      <c r="E263" s="17" t="e">
        <f t="shared" si="9"/>
        <v>#NUM!</v>
      </c>
      <c r="F263" s="17" t="e">
        <f t="shared" si="10"/>
        <v>#NUM!</v>
      </c>
      <c r="G263" s="25">
        <f>IF(G262&lt;0.1,0,$E$4-SUM($E$9:E263))</f>
        <v>0</v>
      </c>
      <c r="H263" s="467"/>
      <c r="I263" s="33"/>
    </row>
    <row r="264" spans="1:9" ht="13.5">
      <c r="A264" s="33"/>
      <c r="B264" s="469"/>
      <c r="C264" s="18">
        <v>256</v>
      </c>
      <c r="D264" s="27">
        <f t="shared" si="11"/>
        <v>0</v>
      </c>
      <c r="E264" s="17" t="e">
        <f t="shared" si="9"/>
        <v>#NUM!</v>
      </c>
      <c r="F264" s="17" t="e">
        <f t="shared" si="10"/>
        <v>#NUM!</v>
      </c>
      <c r="G264" s="25">
        <f>IF(G263&lt;0.1,0,$E$4-SUM($E$9:E264))</f>
        <v>0</v>
      </c>
      <c r="H264" s="467"/>
      <c r="I264" s="33"/>
    </row>
    <row r="265" spans="1:9" ht="13.5">
      <c r="A265" s="33"/>
      <c r="B265" s="469"/>
      <c r="C265" s="18">
        <v>257</v>
      </c>
      <c r="D265" s="27">
        <f t="shared" si="11"/>
        <v>0</v>
      </c>
      <c r="E265" s="17" t="e">
        <f t="shared" si="9"/>
        <v>#NUM!</v>
      </c>
      <c r="F265" s="17" t="e">
        <f t="shared" si="10"/>
        <v>#NUM!</v>
      </c>
      <c r="G265" s="25">
        <f>IF(G264&lt;0.1,0,$E$4-SUM($E$9:E265))</f>
        <v>0</v>
      </c>
      <c r="H265" s="467"/>
      <c r="I265" s="33"/>
    </row>
    <row r="266" spans="1:9" ht="13.5">
      <c r="A266" s="33"/>
      <c r="B266" s="469"/>
      <c r="C266" s="18">
        <v>258</v>
      </c>
      <c r="D266" s="27">
        <f t="shared" si="11"/>
        <v>0</v>
      </c>
      <c r="E266" s="17" t="e">
        <f aca="true" t="shared" si="12" ref="E266:E308">-PPMT($G$4/12,$C266,$H$4,$E$4)</f>
        <v>#NUM!</v>
      </c>
      <c r="F266" s="17" t="e">
        <f aca="true" t="shared" si="13" ref="F266:F308">-IPMT($G$4/12,$C266,$H$4,$E$4)</f>
        <v>#NUM!</v>
      </c>
      <c r="G266" s="25">
        <f>IF(G265&lt;0.1,0,$E$4-SUM($E$9:E266))</f>
        <v>0</v>
      </c>
      <c r="H266" s="467"/>
      <c r="I266" s="33"/>
    </row>
    <row r="267" spans="1:9" ht="13.5">
      <c r="A267" s="33"/>
      <c r="B267" s="469"/>
      <c r="C267" s="18">
        <v>259</v>
      </c>
      <c r="D267" s="27">
        <f aca="true" t="shared" si="14" ref="D267:D308">IF(G266&lt;0.1,0,$E$7)</f>
        <v>0</v>
      </c>
      <c r="E267" s="17" t="e">
        <f t="shared" si="12"/>
        <v>#NUM!</v>
      </c>
      <c r="F267" s="17" t="e">
        <f t="shared" si="13"/>
        <v>#NUM!</v>
      </c>
      <c r="G267" s="25">
        <f>IF(G266&lt;0.1,0,$E$4-SUM($E$9:E267))</f>
        <v>0</v>
      </c>
      <c r="H267" s="467"/>
      <c r="I267" s="33"/>
    </row>
    <row r="268" spans="1:9" ht="13.5">
      <c r="A268" s="33"/>
      <c r="B268" s="469"/>
      <c r="C268" s="18">
        <v>260</v>
      </c>
      <c r="D268" s="27">
        <f t="shared" si="14"/>
        <v>0</v>
      </c>
      <c r="E268" s="17" t="e">
        <f t="shared" si="12"/>
        <v>#NUM!</v>
      </c>
      <c r="F268" s="17" t="e">
        <f t="shared" si="13"/>
        <v>#NUM!</v>
      </c>
      <c r="G268" s="25">
        <f>IF(G267&lt;0.1,0,$E$4-SUM($E$9:E268))</f>
        <v>0</v>
      </c>
      <c r="H268" s="467"/>
      <c r="I268" s="33"/>
    </row>
    <row r="269" spans="1:9" ht="13.5">
      <c r="A269" s="33"/>
      <c r="B269" s="469"/>
      <c r="C269" s="18">
        <v>261</v>
      </c>
      <c r="D269" s="27">
        <f t="shared" si="14"/>
        <v>0</v>
      </c>
      <c r="E269" s="17" t="e">
        <f t="shared" si="12"/>
        <v>#NUM!</v>
      </c>
      <c r="F269" s="17" t="e">
        <f t="shared" si="13"/>
        <v>#NUM!</v>
      </c>
      <c r="G269" s="25">
        <f>IF(G268&lt;0.1,0,$E$4-SUM($E$9:E269))</f>
        <v>0</v>
      </c>
      <c r="H269" s="467"/>
      <c r="I269" s="33"/>
    </row>
    <row r="270" spans="1:9" ht="13.5">
      <c r="A270" s="33"/>
      <c r="B270" s="469"/>
      <c r="C270" s="18">
        <v>262</v>
      </c>
      <c r="D270" s="27">
        <f t="shared" si="14"/>
        <v>0</v>
      </c>
      <c r="E270" s="17" t="e">
        <f t="shared" si="12"/>
        <v>#NUM!</v>
      </c>
      <c r="F270" s="17" t="e">
        <f t="shared" si="13"/>
        <v>#NUM!</v>
      </c>
      <c r="G270" s="25">
        <f>IF(G269&lt;0.1,0,$E$4-SUM($E$9:E270))</f>
        <v>0</v>
      </c>
      <c r="H270" s="467"/>
      <c r="I270" s="33"/>
    </row>
    <row r="271" spans="1:9" ht="13.5">
      <c r="A271" s="33"/>
      <c r="B271" s="469"/>
      <c r="C271" s="18">
        <v>263</v>
      </c>
      <c r="D271" s="27">
        <f t="shared" si="14"/>
        <v>0</v>
      </c>
      <c r="E271" s="17" t="e">
        <f t="shared" si="12"/>
        <v>#NUM!</v>
      </c>
      <c r="F271" s="17" t="e">
        <f t="shared" si="13"/>
        <v>#NUM!</v>
      </c>
      <c r="G271" s="25">
        <f>IF(G270&lt;0.1,0,$E$4-SUM($E$9:E271))</f>
        <v>0</v>
      </c>
      <c r="H271" s="467"/>
      <c r="I271" s="33"/>
    </row>
    <row r="272" spans="1:9" ht="14.25" thickBot="1">
      <c r="A272" s="33"/>
      <c r="B272" s="469"/>
      <c r="C272" s="18">
        <v>264</v>
      </c>
      <c r="D272" s="27">
        <f t="shared" si="14"/>
        <v>0</v>
      </c>
      <c r="E272" s="17" t="e">
        <f t="shared" si="12"/>
        <v>#NUM!</v>
      </c>
      <c r="F272" s="17" t="e">
        <f t="shared" si="13"/>
        <v>#NUM!</v>
      </c>
      <c r="G272" s="25">
        <f>IF(G271&lt;0.1,0,$E$4-SUM($E$9:E272))</f>
        <v>0</v>
      </c>
      <c r="H272" s="468"/>
      <c r="I272" s="33"/>
    </row>
    <row r="273" spans="1:9" ht="13.5">
      <c r="A273" s="33"/>
      <c r="B273" s="469" t="s">
        <v>153</v>
      </c>
      <c r="C273" s="18">
        <v>265</v>
      </c>
      <c r="D273" s="27">
        <f t="shared" si="14"/>
        <v>0</v>
      </c>
      <c r="E273" s="17" t="e">
        <f t="shared" si="12"/>
        <v>#NUM!</v>
      </c>
      <c r="F273" s="17" t="e">
        <f t="shared" si="13"/>
        <v>#NUM!</v>
      </c>
      <c r="G273" s="25">
        <f>IF(G272&lt;0.1,0,$E$4-SUM($E$9:E273))</f>
        <v>0</v>
      </c>
      <c r="H273" s="466">
        <f>+G284</f>
        <v>0</v>
      </c>
      <c r="I273" s="33"/>
    </row>
    <row r="274" spans="1:9" ht="13.5">
      <c r="A274" s="33"/>
      <c r="B274" s="469"/>
      <c r="C274" s="18">
        <v>266</v>
      </c>
      <c r="D274" s="27">
        <f t="shared" si="14"/>
        <v>0</v>
      </c>
      <c r="E274" s="17" t="e">
        <f t="shared" si="12"/>
        <v>#NUM!</v>
      </c>
      <c r="F274" s="17" t="e">
        <f t="shared" si="13"/>
        <v>#NUM!</v>
      </c>
      <c r="G274" s="25">
        <f>IF(G273&lt;0.1,0,$E$4-SUM($E$9:E274))</f>
        <v>0</v>
      </c>
      <c r="H274" s="467"/>
      <c r="I274" s="33"/>
    </row>
    <row r="275" spans="1:9" ht="13.5">
      <c r="A275" s="33"/>
      <c r="B275" s="469"/>
      <c r="C275" s="18">
        <v>267</v>
      </c>
      <c r="D275" s="27">
        <f t="shared" si="14"/>
        <v>0</v>
      </c>
      <c r="E275" s="17" t="e">
        <f t="shared" si="12"/>
        <v>#NUM!</v>
      </c>
      <c r="F275" s="17" t="e">
        <f t="shared" si="13"/>
        <v>#NUM!</v>
      </c>
      <c r="G275" s="25">
        <f>IF(G274&lt;0.1,0,$E$4-SUM($E$9:E275))</f>
        <v>0</v>
      </c>
      <c r="H275" s="467"/>
      <c r="I275" s="33"/>
    </row>
    <row r="276" spans="1:9" ht="13.5">
      <c r="A276" s="33"/>
      <c r="B276" s="469"/>
      <c r="C276" s="18">
        <v>268</v>
      </c>
      <c r="D276" s="27">
        <f t="shared" si="14"/>
        <v>0</v>
      </c>
      <c r="E276" s="17" t="e">
        <f t="shared" si="12"/>
        <v>#NUM!</v>
      </c>
      <c r="F276" s="17" t="e">
        <f t="shared" si="13"/>
        <v>#NUM!</v>
      </c>
      <c r="G276" s="25">
        <f>IF(G275&lt;0.1,0,$E$4-SUM($E$9:E276))</f>
        <v>0</v>
      </c>
      <c r="H276" s="467"/>
      <c r="I276" s="33"/>
    </row>
    <row r="277" spans="1:9" ht="13.5">
      <c r="A277" s="33"/>
      <c r="B277" s="469"/>
      <c r="C277" s="18">
        <v>269</v>
      </c>
      <c r="D277" s="27">
        <f t="shared" si="14"/>
        <v>0</v>
      </c>
      <c r="E277" s="17" t="e">
        <f t="shared" si="12"/>
        <v>#NUM!</v>
      </c>
      <c r="F277" s="17" t="e">
        <f t="shared" si="13"/>
        <v>#NUM!</v>
      </c>
      <c r="G277" s="25">
        <f>IF(G276&lt;0.1,0,$E$4-SUM($E$9:E277))</f>
        <v>0</v>
      </c>
      <c r="H277" s="467"/>
      <c r="I277" s="33"/>
    </row>
    <row r="278" spans="1:9" ht="13.5">
      <c r="A278" s="33"/>
      <c r="B278" s="469"/>
      <c r="C278" s="18">
        <v>270</v>
      </c>
      <c r="D278" s="27">
        <f t="shared" si="14"/>
        <v>0</v>
      </c>
      <c r="E278" s="17" t="e">
        <f t="shared" si="12"/>
        <v>#NUM!</v>
      </c>
      <c r="F278" s="17" t="e">
        <f t="shared" si="13"/>
        <v>#NUM!</v>
      </c>
      <c r="G278" s="25">
        <f>IF(G277&lt;0.1,0,$E$4-SUM($E$9:E278))</f>
        <v>0</v>
      </c>
      <c r="H278" s="467"/>
      <c r="I278" s="33"/>
    </row>
    <row r="279" spans="1:9" ht="13.5">
      <c r="A279" s="33"/>
      <c r="B279" s="469"/>
      <c r="C279" s="18">
        <v>271</v>
      </c>
      <c r="D279" s="27">
        <f t="shared" si="14"/>
        <v>0</v>
      </c>
      <c r="E279" s="17" t="e">
        <f t="shared" si="12"/>
        <v>#NUM!</v>
      </c>
      <c r="F279" s="17" t="e">
        <f t="shared" si="13"/>
        <v>#NUM!</v>
      </c>
      <c r="G279" s="25">
        <f>IF(G278&lt;0.1,0,$E$4-SUM($E$9:E279))</f>
        <v>0</v>
      </c>
      <c r="H279" s="467"/>
      <c r="I279" s="33"/>
    </row>
    <row r="280" spans="1:9" ht="13.5">
      <c r="A280" s="33"/>
      <c r="B280" s="469"/>
      <c r="C280" s="18">
        <v>272</v>
      </c>
      <c r="D280" s="27">
        <f t="shared" si="14"/>
        <v>0</v>
      </c>
      <c r="E280" s="17" t="e">
        <f t="shared" si="12"/>
        <v>#NUM!</v>
      </c>
      <c r="F280" s="17" t="e">
        <f t="shared" si="13"/>
        <v>#NUM!</v>
      </c>
      <c r="G280" s="25">
        <f>IF(G279&lt;0.1,0,$E$4-SUM($E$9:E280))</f>
        <v>0</v>
      </c>
      <c r="H280" s="467"/>
      <c r="I280" s="33"/>
    </row>
    <row r="281" spans="1:9" ht="13.5">
      <c r="A281" s="33"/>
      <c r="B281" s="469"/>
      <c r="C281" s="18">
        <v>273</v>
      </c>
      <c r="D281" s="27">
        <f t="shared" si="14"/>
        <v>0</v>
      </c>
      <c r="E281" s="17" t="e">
        <f t="shared" si="12"/>
        <v>#NUM!</v>
      </c>
      <c r="F281" s="17" t="e">
        <f t="shared" si="13"/>
        <v>#NUM!</v>
      </c>
      <c r="G281" s="25">
        <f>IF(G280&lt;0.1,0,$E$4-SUM($E$9:E281))</f>
        <v>0</v>
      </c>
      <c r="H281" s="467"/>
      <c r="I281" s="33"/>
    </row>
    <row r="282" spans="1:9" ht="13.5">
      <c r="A282" s="33"/>
      <c r="B282" s="469"/>
      <c r="C282" s="18">
        <v>274</v>
      </c>
      <c r="D282" s="27">
        <f t="shared" si="14"/>
        <v>0</v>
      </c>
      <c r="E282" s="17" t="e">
        <f t="shared" si="12"/>
        <v>#NUM!</v>
      </c>
      <c r="F282" s="17" t="e">
        <f t="shared" si="13"/>
        <v>#NUM!</v>
      </c>
      <c r="G282" s="25">
        <f>IF(G281&lt;0.1,0,$E$4-SUM($E$9:E282))</f>
        <v>0</v>
      </c>
      <c r="H282" s="467"/>
      <c r="I282" s="33"/>
    </row>
    <row r="283" spans="1:9" ht="13.5">
      <c r="A283" s="33"/>
      <c r="B283" s="469"/>
      <c r="C283" s="18">
        <v>275</v>
      </c>
      <c r="D283" s="27">
        <f t="shared" si="14"/>
        <v>0</v>
      </c>
      <c r="E283" s="17" t="e">
        <f t="shared" si="12"/>
        <v>#NUM!</v>
      </c>
      <c r="F283" s="17" t="e">
        <f t="shared" si="13"/>
        <v>#NUM!</v>
      </c>
      <c r="G283" s="25">
        <f>IF(G282&lt;0.1,0,$E$4-SUM($E$9:E283))</f>
        <v>0</v>
      </c>
      <c r="H283" s="467"/>
      <c r="I283" s="33"/>
    </row>
    <row r="284" spans="1:9" ht="14.25" thickBot="1">
      <c r="A284" s="33"/>
      <c r="B284" s="469"/>
      <c r="C284" s="18">
        <v>276</v>
      </c>
      <c r="D284" s="27">
        <f t="shared" si="14"/>
        <v>0</v>
      </c>
      <c r="E284" s="17" t="e">
        <f t="shared" si="12"/>
        <v>#NUM!</v>
      </c>
      <c r="F284" s="17" t="e">
        <f t="shared" si="13"/>
        <v>#NUM!</v>
      </c>
      <c r="G284" s="25">
        <f>IF(G283&lt;0.1,0,$E$4-SUM($E$9:E284))</f>
        <v>0</v>
      </c>
      <c r="H284" s="468"/>
      <c r="I284" s="33"/>
    </row>
    <row r="285" spans="1:9" ht="13.5">
      <c r="A285" s="33"/>
      <c r="B285" s="469" t="s">
        <v>154</v>
      </c>
      <c r="C285" s="18">
        <v>277</v>
      </c>
      <c r="D285" s="27">
        <f t="shared" si="14"/>
        <v>0</v>
      </c>
      <c r="E285" s="17" t="e">
        <f t="shared" si="12"/>
        <v>#NUM!</v>
      </c>
      <c r="F285" s="17" t="e">
        <f t="shared" si="13"/>
        <v>#NUM!</v>
      </c>
      <c r="G285" s="25">
        <f>IF(G284&lt;0.1,0,$E$4-SUM($E$9:E285))</f>
        <v>0</v>
      </c>
      <c r="H285" s="466">
        <f>+G296</f>
        <v>0</v>
      </c>
      <c r="I285" s="33"/>
    </row>
    <row r="286" spans="1:9" ht="13.5">
      <c r="A286" s="33"/>
      <c r="B286" s="469"/>
      <c r="C286" s="18">
        <v>278</v>
      </c>
      <c r="D286" s="27">
        <f t="shared" si="14"/>
        <v>0</v>
      </c>
      <c r="E286" s="17" t="e">
        <f t="shared" si="12"/>
        <v>#NUM!</v>
      </c>
      <c r="F286" s="17" t="e">
        <f t="shared" si="13"/>
        <v>#NUM!</v>
      </c>
      <c r="G286" s="25">
        <f>IF(G285&lt;0.1,0,$E$4-SUM($E$9:E286))</f>
        <v>0</v>
      </c>
      <c r="H286" s="467"/>
      <c r="I286" s="33"/>
    </row>
    <row r="287" spans="1:9" ht="13.5">
      <c r="A287" s="33"/>
      <c r="B287" s="469"/>
      <c r="C287" s="18">
        <v>279</v>
      </c>
      <c r="D287" s="27">
        <f t="shared" si="14"/>
        <v>0</v>
      </c>
      <c r="E287" s="17" t="e">
        <f t="shared" si="12"/>
        <v>#NUM!</v>
      </c>
      <c r="F287" s="17" t="e">
        <f t="shared" si="13"/>
        <v>#NUM!</v>
      </c>
      <c r="G287" s="25">
        <f>IF(G286&lt;0.1,0,$E$4-SUM($E$9:E287))</f>
        <v>0</v>
      </c>
      <c r="H287" s="467"/>
      <c r="I287" s="33"/>
    </row>
    <row r="288" spans="1:9" ht="13.5">
      <c r="A288" s="33"/>
      <c r="B288" s="469"/>
      <c r="C288" s="18">
        <v>280</v>
      </c>
      <c r="D288" s="27">
        <f t="shared" si="14"/>
        <v>0</v>
      </c>
      <c r="E288" s="17" t="e">
        <f t="shared" si="12"/>
        <v>#NUM!</v>
      </c>
      <c r="F288" s="17" t="e">
        <f t="shared" si="13"/>
        <v>#NUM!</v>
      </c>
      <c r="G288" s="25">
        <f>IF(G287&lt;0.1,0,$E$4-SUM($E$9:E288))</f>
        <v>0</v>
      </c>
      <c r="H288" s="467"/>
      <c r="I288" s="33"/>
    </row>
    <row r="289" spans="1:9" ht="13.5">
      <c r="A289" s="33"/>
      <c r="B289" s="469"/>
      <c r="C289" s="18">
        <v>281</v>
      </c>
      <c r="D289" s="27">
        <f t="shared" si="14"/>
        <v>0</v>
      </c>
      <c r="E289" s="17" t="e">
        <f t="shared" si="12"/>
        <v>#NUM!</v>
      </c>
      <c r="F289" s="17" t="e">
        <f t="shared" si="13"/>
        <v>#NUM!</v>
      </c>
      <c r="G289" s="25">
        <f>IF(G288&lt;0.1,0,$E$4-SUM($E$9:E289))</f>
        <v>0</v>
      </c>
      <c r="H289" s="467"/>
      <c r="I289" s="33"/>
    </row>
    <row r="290" spans="1:9" ht="13.5">
      <c r="A290" s="33"/>
      <c r="B290" s="469"/>
      <c r="C290" s="18">
        <v>282</v>
      </c>
      <c r="D290" s="27">
        <f t="shared" si="14"/>
        <v>0</v>
      </c>
      <c r="E290" s="17" t="e">
        <f t="shared" si="12"/>
        <v>#NUM!</v>
      </c>
      <c r="F290" s="17" t="e">
        <f t="shared" si="13"/>
        <v>#NUM!</v>
      </c>
      <c r="G290" s="25">
        <f>IF(G289&lt;0.1,0,$E$4-SUM($E$9:E290))</f>
        <v>0</v>
      </c>
      <c r="H290" s="467"/>
      <c r="I290" s="33"/>
    </row>
    <row r="291" spans="1:9" ht="13.5">
      <c r="A291" s="33"/>
      <c r="B291" s="469"/>
      <c r="C291" s="18">
        <v>283</v>
      </c>
      <c r="D291" s="27">
        <f t="shared" si="14"/>
        <v>0</v>
      </c>
      <c r="E291" s="17" t="e">
        <f t="shared" si="12"/>
        <v>#NUM!</v>
      </c>
      <c r="F291" s="17" t="e">
        <f t="shared" si="13"/>
        <v>#NUM!</v>
      </c>
      <c r="G291" s="25">
        <f>IF(G290&lt;0.1,0,$E$4-SUM($E$9:E291))</f>
        <v>0</v>
      </c>
      <c r="H291" s="467"/>
      <c r="I291" s="33"/>
    </row>
    <row r="292" spans="1:9" ht="13.5">
      <c r="A292" s="33"/>
      <c r="B292" s="469"/>
      <c r="C292" s="18">
        <v>284</v>
      </c>
      <c r="D292" s="27">
        <f t="shared" si="14"/>
        <v>0</v>
      </c>
      <c r="E292" s="17" t="e">
        <f t="shared" si="12"/>
        <v>#NUM!</v>
      </c>
      <c r="F292" s="17" t="e">
        <f t="shared" si="13"/>
        <v>#NUM!</v>
      </c>
      <c r="G292" s="25">
        <f>IF(G291&lt;0.1,0,$E$4-SUM($E$9:E292))</f>
        <v>0</v>
      </c>
      <c r="H292" s="467"/>
      <c r="I292" s="33"/>
    </row>
    <row r="293" spans="1:9" ht="13.5">
      <c r="A293" s="33"/>
      <c r="B293" s="469"/>
      <c r="C293" s="18">
        <v>285</v>
      </c>
      <c r="D293" s="27">
        <f t="shared" si="14"/>
        <v>0</v>
      </c>
      <c r="E293" s="17" t="e">
        <f t="shared" si="12"/>
        <v>#NUM!</v>
      </c>
      <c r="F293" s="17" t="e">
        <f t="shared" si="13"/>
        <v>#NUM!</v>
      </c>
      <c r="G293" s="25">
        <f>IF(G292&lt;0.1,0,$E$4-SUM($E$9:E293))</f>
        <v>0</v>
      </c>
      <c r="H293" s="467"/>
      <c r="I293" s="33"/>
    </row>
    <row r="294" spans="1:9" ht="13.5">
      <c r="A294" s="33"/>
      <c r="B294" s="469"/>
      <c r="C294" s="18">
        <v>286</v>
      </c>
      <c r="D294" s="27">
        <f t="shared" si="14"/>
        <v>0</v>
      </c>
      <c r="E294" s="17" t="e">
        <f t="shared" si="12"/>
        <v>#NUM!</v>
      </c>
      <c r="F294" s="17" t="e">
        <f t="shared" si="13"/>
        <v>#NUM!</v>
      </c>
      <c r="G294" s="25">
        <f>IF(G293&lt;0.1,0,$E$4-SUM($E$9:E294))</f>
        <v>0</v>
      </c>
      <c r="H294" s="467"/>
      <c r="I294" s="33"/>
    </row>
    <row r="295" spans="1:9" ht="13.5">
      <c r="A295" s="33"/>
      <c r="B295" s="469"/>
      <c r="C295" s="18">
        <v>287</v>
      </c>
      <c r="D295" s="27">
        <f t="shared" si="14"/>
        <v>0</v>
      </c>
      <c r="E295" s="17" t="e">
        <f t="shared" si="12"/>
        <v>#NUM!</v>
      </c>
      <c r="F295" s="17" t="e">
        <f t="shared" si="13"/>
        <v>#NUM!</v>
      </c>
      <c r="G295" s="25">
        <f>IF(G294&lt;0.1,0,$E$4-SUM($E$9:E295))</f>
        <v>0</v>
      </c>
      <c r="H295" s="467"/>
      <c r="I295" s="33"/>
    </row>
    <row r="296" spans="1:9" ht="14.25" thickBot="1">
      <c r="A296" s="33"/>
      <c r="B296" s="469"/>
      <c r="C296" s="18">
        <v>288</v>
      </c>
      <c r="D296" s="27">
        <f t="shared" si="14"/>
        <v>0</v>
      </c>
      <c r="E296" s="17" t="e">
        <f t="shared" si="12"/>
        <v>#NUM!</v>
      </c>
      <c r="F296" s="17" t="e">
        <f t="shared" si="13"/>
        <v>#NUM!</v>
      </c>
      <c r="G296" s="25">
        <f>IF(G295&lt;0.1,0,$E$4-SUM($E$9:E296))</f>
        <v>0</v>
      </c>
      <c r="H296" s="468"/>
      <c r="I296" s="33"/>
    </row>
    <row r="297" spans="1:9" ht="13.5">
      <c r="A297" s="33"/>
      <c r="B297" s="469" t="s">
        <v>155</v>
      </c>
      <c r="C297" s="18">
        <v>289</v>
      </c>
      <c r="D297" s="27">
        <f t="shared" si="14"/>
        <v>0</v>
      </c>
      <c r="E297" s="17" t="e">
        <f t="shared" si="12"/>
        <v>#NUM!</v>
      </c>
      <c r="F297" s="17" t="e">
        <f t="shared" si="13"/>
        <v>#NUM!</v>
      </c>
      <c r="G297" s="25">
        <f>IF(G296&lt;0.1,0,$E$4-SUM($E$9:E297))</f>
        <v>0</v>
      </c>
      <c r="H297" s="466">
        <f>+G308</f>
        <v>0</v>
      </c>
      <c r="I297" s="33"/>
    </row>
    <row r="298" spans="1:9" ht="13.5">
      <c r="A298" s="33"/>
      <c r="B298" s="469"/>
      <c r="C298" s="18">
        <v>290</v>
      </c>
      <c r="D298" s="27">
        <f t="shared" si="14"/>
        <v>0</v>
      </c>
      <c r="E298" s="17" t="e">
        <f t="shared" si="12"/>
        <v>#NUM!</v>
      </c>
      <c r="F298" s="17" t="e">
        <f t="shared" si="13"/>
        <v>#NUM!</v>
      </c>
      <c r="G298" s="25">
        <f>IF(G297&lt;0.1,0,$E$4-SUM($E$9:E298))</f>
        <v>0</v>
      </c>
      <c r="H298" s="467"/>
      <c r="I298" s="33"/>
    </row>
    <row r="299" spans="1:9" ht="13.5">
      <c r="A299" s="33"/>
      <c r="B299" s="469"/>
      <c r="C299" s="18">
        <v>291</v>
      </c>
      <c r="D299" s="27">
        <f t="shared" si="14"/>
        <v>0</v>
      </c>
      <c r="E299" s="17" t="e">
        <f t="shared" si="12"/>
        <v>#NUM!</v>
      </c>
      <c r="F299" s="17" t="e">
        <f t="shared" si="13"/>
        <v>#NUM!</v>
      </c>
      <c r="G299" s="25">
        <f>IF(G298&lt;0.1,0,$E$4-SUM($E$9:E299))</f>
        <v>0</v>
      </c>
      <c r="H299" s="467"/>
      <c r="I299" s="33"/>
    </row>
    <row r="300" spans="1:9" ht="13.5">
      <c r="A300" s="33"/>
      <c r="B300" s="469"/>
      <c r="C300" s="18">
        <v>292</v>
      </c>
      <c r="D300" s="27">
        <f t="shared" si="14"/>
        <v>0</v>
      </c>
      <c r="E300" s="17" t="e">
        <f t="shared" si="12"/>
        <v>#NUM!</v>
      </c>
      <c r="F300" s="17" t="e">
        <f t="shared" si="13"/>
        <v>#NUM!</v>
      </c>
      <c r="G300" s="25">
        <f>IF(G299&lt;0.1,0,$E$4-SUM($E$9:E300))</f>
        <v>0</v>
      </c>
      <c r="H300" s="467"/>
      <c r="I300" s="33"/>
    </row>
    <row r="301" spans="1:9" ht="13.5">
      <c r="A301" s="33"/>
      <c r="B301" s="469"/>
      <c r="C301" s="18">
        <v>293</v>
      </c>
      <c r="D301" s="27">
        <f t="shared" si="14"/>
        <v>0</v>
      </c>
      <c r="E301" s="17" t="e">
        <f t="shared" si="12"/>
        <v>#NUM!</v>
      </c>
      <c r="F301" s="17" t="e">
        <f t="shared" si="13"/>
        <v>#NUM!</v>
      </c>
      <c r="G301" s="25">
        <f>IF(G300&lt;0.1,0,$E$4-SUM($E$9:E301))</f>
        <v>0</v>
      </c>
      <c r="H301" s="467"/>
      <c r="I301" s="33"/>
    </row>
    <row r="302" spans="1:9" ht="13.5">
      <c r="A302" s="33"/>
      <c r="B302" s="469"/>
      <c r="C302" s="18">
        <v>294</v>
      </c>
      <c r="D302" s="27">
        <f t="shared" si="14"/>
        <v>0</v>
      </c>
      <c r="E302" s="17" t="e">
        <f t="shared" si="12"/>
        <v>#NUM!</v>
      </c>
      <c r="F302" s="17" t="e">
        <f t="shared" si="13"/>
        <v>#NUM!</v>
      </c>
      <c r="G302" s="25">
        <f>IF(G301&lt;0.1,0,$E$4-SUM($E$9:E302))</f>
        <v>0</v>
      </c>
      <c r="H302" s="467"/>
      <c r="I302" s="33"/>
    </row>
    <row r="303" spans="1:9" ht="13.5">
      <c r="A303" s="33"/>
      <c r="B303" s="469"/>
      <c r="C303" s="18">
        <v>295</v>
      </c>
      <c r="D303" s="27">
        <f t="shared" si="14"/>
        <v>0</v>
      </c>
      <c r="E303" s="17" t="e">
        <f t="shared" si="12"/>
        <v>#NUM!</v>
      </c>
      <c r="F303" s="17" t="e">
        <f t="shared" si="13"/>
        <v>#NUM!</v>
      </c>
      <c r="G303" s="25">
        <f>IF(G302&lt;0.1,0,$E$4-SUM($E$9:E303))</f>
        <v>0</v>
      </c>
      <c r="H303" s="467"/>
      <c r="I303" s="33"/>
    </row>
    <row r="304" spans="1:9" ht="13.5">
      <c r="A304" s="33"/>
      <c r="B304" s="469"/>
      <c r="C304" s="18">
        <v>296</v>
      </c>
      <c r="D304" s="27">
        <f t="shared" si="14"/>
        <v>0</v>
      </c>
      <c r="E304" s="17" t="e">
        <f t="shared" si="12"/>
        <v>#NUM!</v>
      </c>
      <c r="F304" s="17" t="e">
        <f t="shared" si="13"/>
        <v>#NUM!</v>
      </c>
      <c r="G304" s="25">
        <f>IF(G303&lt;0.1,0,$E$4-SUM($E$9:E304))</f>
        <v>0</v>
      </c>
      <c r="H304" s="467"/>
      <c r="I304" s="33"/>
    </row>
    <row r="305" spans="1:9" ht="13.5">
      <c r="A305" s="33"/>
      <c r="B305" s="469"/>
      <c r="C305" s="18">
        <v>297</v>
      </c>
      <c r="D305" s="27">
        <f t="shared" si="14"/>
        <v>0</v>
      </c>
      <c r="E305" s="17" t="e">
        <f t="shared" si="12"/>
        <v>#NUM!</v>
      </c>
      <c r="F305" s="17" t="e">
        <f t="shared" si="13"/>
        <v>#NUM!</v>
      </c>
      <c r="G305" s="25">
        <f>IF(G304&lt;0.1,0,$E$4-SUM($E$9:E305))</f>
        <v>0</v>
      </c>
      <c r="H305" s="467"/>
      <c r="I305" s="33"/>
    </row>
    <row r="306" spans="1:9" ht="13.5">
      <c r="A306" s="33"/>
      <c r="B306" s="469"/>
      <c r="C306" s="18">
        <v>298</v>
      </c>
      <c r="D306" s="27">
        <f t="shared" si="14"/>
        <v>0</v>
      </c>
      <c r="E306" s="17" t="e">
        <f t="shared" si="12"/>
        <v>#NUM!</v>
      </c>
      <c r="F306" s="17" t="e">
        <f t="shared" si="13"/>
        <v>#NUM!</v>
      </c>
      <c r="G306" s="25">
        <f>IF(G305&lt;0.1,0,$E$4-SUM($E$9:E306))</f>
        <v>0</v>
      </c>
      <c r="H306" s="467"/>
      <c r="I306" s="33"/>
    </row>
    <row r="307" spans="1:9" ht="13.5">
      <c r="A307" s="33"/>
      <c r="B307" s="469"/>
      <c r="C307" s="18">
        <v>299</v>
      </c>
      <c r="D307" s="27">
        <f t="shared" si="14"/>
        <v>0</v>
      </c>
      <c r="E307" s="17" t="e">
        <f t="shared" si="12"/>
        <v>#NUM!</v>
      </c>
      <c r="F307" s="17" t="e">
        <f t="shared" si="13"/>
        <v>#NUM!</v>
      </c>
      <c r="G307" s="25">
        <f>IF(G306&lt;0.1,0,$E$4-SUM($E$9:E307))</f>
        <v>0</v>
      </c>
      <c r="H307" s="467"/>
      <c r="I307" s="33"/>
    </row>
    <row r="308" spans="1:9" ht="14.25" thickBot="1">
      <c r="A308" s="33"/>
      <c r="B308" s="469"/>
      <c r="C308" s="18">
        <v>300</v>
      </c>
      <c r="D308" s="27">
        <f t="shared" si="14"/>
        <v>0</v>
      </c>
      <c r="E308" s="17" t="e">
        <f t="shared" si="12"/>
        <v>#NUM!</v>
      </c>
      <c r="F308" s="17" t="e">
        <f t="shared" si="13"/>
        <v>#NUM!</v>
      </c>
      <c r="G308" s="25">
        <f>IF(G307&lt;0.1,0,$E$4-SUM($E$9:E308))</f>
        <v>0</v>
      </c>
      <c r="H308" s="468"/>
      <c r="I308" s="33"/>
    </row>
    <row r="309" spans="1:9" ht="13.5">
      <c r="A309" s="33"/>
      <c r="B309" s="33"/>
      <c r="C309" s="33"/>
      <c r="D309" s="33"/>
      <c r="E309" s="33"/>
      <c r="F309" s="33"/>
      <c r="G309" s="33"/>
      <c r="H309" s="33"/>
      <c r="I309" s="33"/>
    </row>
  </sheetData>
  <sheetProtection/>
  <mergeCells count="52">
    <mergeCell ref="B225:B236"/>
    <mergeCell ref="B237:B248"/>
    <mergeCell ref="B81:B92"/>
    <mergeCell ref="B93:B104"/>
    <mergeCell ref="B201:B212"/>
    <mergeCell ref="B213:B224"/>
    <mergeCell ref="B105:B116"/>
    <mergeCell ref="B117:B128"/>
    <mergeCell ref="B177:B188"/>
    <mergeCell ref="B189:B200"/>
    <mergeCell ref="B33:B44"/>
    <mergeCell ref="B45:B56"/>
    <mergeCell ref="B57:B68"/>
    <mergeCell ref="B69:B80"/>
    <mergeCell ref="C3:D4"/>
    <mergeCell ref="C6:D7"/>
    <mergeCell ref="B9:B20"/>
    <mergeCell ref="B21:B32"/>
    <mergeCell ref="B297:B308"/>
    <mergeCell ref="H9:H20"/>
    <mergeCell ref="H21:H32"/>
    <mergeCell ref="H33:H44"/>
    <mergeCell ref="H45:H56"/>
    <mergeCell ref="H57:H68"/>
    <mergeCell ref="H69:H80"/>
    <mergeCell ref="H81:H92"/>
    <mergeCell ref="B153:B164"/>
    <mergeCell ref="B165:B176"/>
    <mergeCell ref="H141:H152"/>
    <mergeCell ref="H153:H164"/>
    <mergeCell ref="B129:B140"/>
    <mergeCell ref="B141:B152"/>
    <mergeCell ref="H93:H104"/>
    <mergeCell ref="H105:H116"/>
    <mergeCell ref="H117:H128"/>
    <mergeCell ref="H129:H140"/>
    <mergeCell ref="B273:B284"/>
    <mergeCell ref="B285:B296"/>
    <mergeCell ref="B249:B260"/>
    <mergeCell ref="B261:B272"/>
    <mergeCell ref="H297:H308"/>
    <mergeCell ref="H237:H248"/>
    <mergeCell ref="H249:H260"/>
    <mergeCell ref="H261:H272"/>
    <mergeCell ref="H273:H284"/>
    <mergeCell ref="H285:H296"/>
    <mergeCell ref="H213:H224"/>
    <mergeCell ref="H225:H236"/>
    <mergeCell ref="H165:H176"/>
    <mergeCell ref="H177:H188"/>
    <mergeCell ref="H189:H200"/>
    <mergeCell ref="H201:H212"/>
  </mergeCells>
  <printOptions/>
  <pageMargins left="0.7" right="0.7" top="0.75" bottom="0.75" header="0.3" footer="0.3"/>
  <pageSetup horizontalDpi="300" verticalDpi="300" orientation="portrait" paperSize="9" scale="80" r:id="rId1"/>
  <rowBreaks count="4" manualBreakCount="4">
    <brk id="68" max="255" man="1"/>
    <brk id="128" max="255" man="1"/>
    <brk id="188" max="255" man="1"/>
    <brk id="248" max="255" man="1"/>
  </rowBreaks>
</worksheet>
</file>

<file path=xl/worksheets/sheet5.xml><?xml version="1.0" encoding="utf-8"?>
<worksheet xmlns="http://schemas.openxmlformats.org/spreadsheetml/2006/main" xmlns:r="http://schemas.openxmlformats.org/officeDocument/2006/relationships">
  <dimension ref="A1:L309"/>
  <sheetViews>
    <sheetView zoomScalePageLayoutView="0" workbookViewId="0" topLeftCell="A1">
      <selection activeCell="H4" sqref="H4"/>
    </sheetView>
  </sheetViews>
  <sheetFormatPr defaultColWidth="9.140625" defaultRowHeight="15"/>
  <cols>
    <col min="1" max="1" width="2.421875" style="0" customWidth="1"/>
    <col min="2" max="3" width="10.57421875" style="0" customWidth="1"/>
    <col min="4" max="4" width="15.57421875" style="0" customWidth="1"/>
    <col min="5" max="5" width="22.57421875" style="0" customWidth="1"/>
    <col min="6" max="6" width="20.57421875" style="0" hidden="1" customWidth="1"/>
    <col min="7" max="8" width="22.57421875" style="0" customWidth="1"/>
    <col min="9" max="9" width="3.28125" style="0" customWidth="1"/>
    <col min="10" max="10" width="9.421875" style="0" bestFit="1" customWidth="1"/>
  </cols>
  <sheetData>
    <row r="1" spans="1:9" ht="13.5">
      <c r="A1" s="37" t="s">
        <v>161</v>
      </c>
      <c r="B1" s="33"/>
      <c r="C1" s="33"/>
      <c r="D1" s="33"/>
      <c r="E1" s="50" t="s">
        <v>162</v>
      </c>
      <c r="F1" s="33"/>
      <c r="G1" s="50" t="s">
        <v>163</v>
      </c>
      <c r="H1" s="80">
        <f>シート１!AC24</f>
        <v>27</v>
      </c>
      <c r="I1" s="33"/>
    </row>
    <row r="2" spans="1:9" ht="13.5">
      <c r="A2" s="33"/>
      <c r="B2" s="33"/>
      <c r="C2" s="33"/>
      <c r="D2" s="33"/>
      <c r="E2" s="33"/>
      <c r="F2" s="33"/>
      <c r="G2" s="45"/>
      <c r="H2" s="38" t="s">
        <v>157</v>
      </c>
      <c r="I2" s="33"/>
    </row>
    <row r="3" spans="1:12" ht="13.5">
      <c r="A3" s="33"/>
      <c r="B3" s="33"/>
      <c r="C3" s="471" t="s">
        <v>119</v>
      </c>
      <c r="D3" s="471"/>
      <c r="E3" s="19" t="s">
        <v>120</v>
      </c>
      <c r="F3" s="19"/>
      <c r="G3" s="19" t="s">
        <v>121</v>
      </c>
      <c r="H3" s="19" t="s">
        <v>122</v>
      </c>
      <c r="I3" s="33"/>
      <c r="L3">
        <v>14435604.868920587</v>
      </c>
    </row>
    <row r="4" spans="1:12" ht="13.5">
      <c r="A4" s="33"/>
      <c r="B4" s="33"/>
      <c r="C4" s="471"/>
      <c r="D4" s="471"/>
      <c r="E4" s="27">
        <f>シート１!AC25*10000</f>
        <v>15000000</v>
      </c>
      <c r="F4" s="28"/>
      <c r="G4" s="28">
        <f>シート１!AC22</f>
        <v>0.01</v>
      </c>
      <c r="H4" s="78">
        <f>シート１!AG24</f>
        <v>180</v>
      </c>
      <c r="I4" s="33"/>
      <c r="L4">
        <v>13807994.626961997</v>
      </c>
    </row>
    <row r="5" spans="1:12" ht="13.5">
      <c r="A5" s="33"/>
      <c r="B5" s="33"/>
      <c r="C5" s="33"/>
      <c r="D5" s="33"/>
      <c r="E5" s="33"/>
      <c r="F5" s="33"/>
      <c r="G5" s="33"/>
      <c r="H5" s="33"/>
      <c r="I5" s="33"/>
      <c r="L5">
        <v>13167716.47665036</v>
      </c>
    </row>
    <row r="6" spans="1:12" ht="13.5">
      <c r="A6" s="33"/>
      <c r="B6" s="42"/>
      <c r="C6" s="472" t="s">
        <v>123</v>
      </c>
      <c r="D6" s="472"/>
      <c r="E6" s="20" t="s">
        <v>124</v>
      </c>
      <c r="F6" s="20"/>
      <c r="G6" s="20" t="s">
        <v>130</v>
      </c>
      <c r="H6" s="20" t="s">
        <v>125</v>
      </c>
      <c r="I6" s="33"/>
      <c r="L6">
        <v>12514514.724417739</v>
      </c>
    </row>
    <row r="7" spans="1:12" ht="13.5">
      <c r="A7" s="33"/>
      <c r="B7" s="43"/>
      <c r="C7" s="472"/>
      <c r="D7" s="472"/>
      <c r="E7" s="27">
        <f>-PMT(G4/12,H4,E4)</f>
        <v>89774.1771777404</v>
      </c>
      <c r="F7" s="31"/>
      <c r="G7" s="29">
        <f>+E7*12</f>
        <v>1077290.126132885</v>
      </c>
      <c r="H7" s="30">
        <f>+E7*H4</f>
        <v>16159351.891993273</v>
      </c>
      <c r="I7" s="33"/>
      <c r="L7">
        <v>11848128.515686272</v>
      </c>
    </row>
    <row r="8" spans="1:12" ht="13.5">
      <c r="A8" s="33"/>
      <c r="B8" s="44"/>
      <c r="C8" s="20" t="s">
        <v>126</v>
      </c>
      <c r="D8" s="20" t="s">
        <v>124</v>
      </c>
      <c r="E8" s="20" t="s">
        <v>127</v>
      </c>
      <c r="F8" s="20" t="s">
        <v>128</v>
      </c>
      <c r="G8" s="26" t="s">
        <v>129</v>
      </c>
      <c r="H8" s="20" t="s">
        <v>156</v>
      </c>
      <c r="I8" s="33"/>
      <c r="L8">
        <v>11168291.730696522</v>
      </c>
    </row>
    <row r="9" spans="1:12" ht="13.5">
      <c r="A9" s="33"/>
      <c r="B9" s="469" t="s">
        <v>131</v>
      </c>
      <c r="C9" s="18">
        <v>1</v>
      </c>
      <c r="D9" s="27">
        <f>$E$7</f>
        <v>89774.1771777404</v>
      </c>
      <c r="E9" s="17">
        <f>IF($H$4&gt;C9-1,-PPMT($G$4/12,$C9,$H$4,$E$4),0)</f>
        <v>77274.1771777404</v>
      </c>
      <c r="F9" s="17">
        <f>-IPMT($G$4/12,$C9,$H$4,$E$4)</f>
        <v>12500</v>
      </c>
      <c r="G9" s="25">
        <f>$E$4-SUM($E$9:E9)</f>
        <v>14922725.82282226</v>
      </c>
      <c r="H9" s="470">
        <f>+G20</f>
        <v>14068447.966179896</v>
      </c>
      <c r="I9" s="33"/>
      <c r="L9">
        <v>10474732.878233172</v>
      </c>
    </row>
    <row r="10" spans="1:12" ht="13.5">
      <c r="A10" s="33"/>
      <c r="B10" s="469"/>
      <c r="C10" s="18">
        <v>2</v>
      </c>
      <c r="D10" s="27">
        <f aca="true" t="shared" si="0" ref="D10:D73">$E$7</f>
        <v>89774.1771777404</v>
      </c>
      <c r="E10" s="17">
        <f aca="true" t="shared" si="1" ref="E10:E73">IF($H$4&gt;C10-1,-PPMT($G$4/12,$C10,$H$4,$E$4),0)</f>
        <v>77338.57232538852</v>
      </c>
      <c r="F10" s="17">
        <f aca="true" t="shared" si="2" ref="F10:F73">-IPMT($G$4/12,$C10,$H$4,$E$4)</f>
        <v>12435.604852351884</v>
      </c>
      <c r="G10" s="25">
        <f>$E$4-SUM($E$9:E10)</f>
        <v>14845387.250496872</v>
      </c>
      <c r="H10" s="467"/>
      <c r="I10" s="33"/>
      <c r="J10">
        <f>75883*240</f>
        <v>18211920</v>
      </c>
      <c r="L10">
        <v>9767174.987205645</v>
      </c>
    </row>
    <row r="11" spans="1:12" ht="13.5">
      <c r="A11" s="33"/>
      <c r="B11" s="469"/>
      <c r="C11" s="18">
        <v>3</v>
      </c>
      <c r="D11" s="27">
        <f t="shared" si="0"/>
        <v>89774.1771777404</v>
      </c>
      <c r="E11" s="17">
        <f t="shared" si="1"/>
        <v>77403.02113565968</v>
      </c>
      <c r="F11" s="17">
        <f t="shared" si="2"/>
        <v>12371.156042080727</v>
      </c>
      <c r="G11" s="25">
        <f>$E$4-SUM($E$9:E11)</f>
        <v>14767984.229361212</v>
      </c>
      <c r="H11" s="467"/>
      <c r="I11" s="33"/>
      <c r="L11">
        <v>9045335.496040367</v>
      </c>
    </row>
    <row r="12" spans="1:12" ht="13.5">
      <c r="A12" s="33"/>
      <c r="B12" s="469"/>
      <c r="C12" s="18">
        <v>4</v>
      </c>
      <c r="D12" s="27">
        <f t="shared" si="0"/>
        <v>89774.1771777404</v>
      </c>
      <c r="E12" s="17">
        <f t="shared" si="1"/>
        <v>77467.52365327271</v>
      </c>
      <c r="F12" s="17">
        <f t="shared" si="2"/>
        <v>12306.653524467674</v>
      </c>
      <c r="G12" s="25">
        <f>$E$4-SUM($E$9:E12)</f>
        <v>14690516.70570794</v>
      </c>
      <c r="H12" s="467"/>
      <c r="I12" s="33"/>
      <c r="L12">
        <v>8308926.139840453</v>
      </c>
    </row>
    <row r="13" spans="1:12" ht="13.5">
      <c r="A13" s="33"/>
      <c r="B13" s="469"/>
      <c r="C13" s="18">
        <v>5</v>
      </c>
      <c r="D13" s="27">
        <f t="shared" si="0"/>
        <v>89774.1771777404</v>
      </c>
      <c r="E13" s="17">
        <f t="shared" si="1"/>
        <v>77532.07992298379</v>
      </c>
      <c r="F13" s="17">
        <f t="shared" si="2"/>
        <v>12242.097254756616</v>
      </c>
      <c r="G13" s="25">
        <f>$E$4-SUM($E$9:E13)</f>
        <v>14612984.625784954</v>
      </c>
      <c r="H13" s="467"/>
      <c r="I13" s="33"/>
      <c r="L13">
        <v>7557652.835267813</v>
      </c>
    </row>
    <row r="14" spans="1:12" ht="13.5">
      <c r="A14" s="33"/>
      <c r="B14" s="469"/>
      <c r="C14" s="18">
        <v>6</v>
      </c>
      <c r="D14" s="27">
        <f t="shared" si="0"/>
        <v>89774.1771777404</v>
      </c>
      <c r="E14" s="17">
        <f t="shared" si="1"/>
        <v>77596.68998958627</v>
      </c>
      <c r="F14" s="17">
        <f t="shared" si="2"/>
        <v>12177.48718815413</v>
      </c>
      <c r="G14" s="25">
        <f>$E$4-SUM($E$9:E14)</f>
        <v>14535387.935795369</v>
      </c>
      <c r="H14" s="467"/>
      <c r="I14" s="33"/>
      <c r="L14">
        <v>6791215.563101664</v>
      </c>
    </row>
    <row r="15" spans="1:12" ht="13.5">
      <c r="A15" s="33"/>
      <c r="B15" s="469"/>
      <c r="C15" s="18">
        <v>7</v>
      </c>
      <c r="D15" s="27">
        <f t="shared" si="0"/>
        <v>89774.1771777404</v>
      </c>
      <c r="E15" s="17">
        <f t="shared" si="1"/>
        <v>77661.35389791093</v>
      </c>
      <c r="F15" s="17">
        <f t="shared" si="2"/>
        <v>12112.823279829474</v>
      </c>
      <c r="G15" s="25">
        <f>$E$4-SUM($E$9:E15)</f>
        <v>14457726.581897458</v>
      </c>
      <c r="H15" s="467"/>
      <c r="I15" s="33"/>
      <c r="L15">
        <v>6009308.248426551</v>
      </c>
    </row>
    <row r="16" spans="1:12" ht="13.5">
      <c r="A16" s="33"/>
      <c r="B16" s="469"/>
      <c r="C16" s="18">
        <v>8</v>
      </c>
      <c r="D16" s="27">
        <f t="shared" si="0"/>
        <v>89774.1771777404</v>
      </c>
      <c r="E16" s="17">
        <f t="shared" si="1"/>
        <v>77726.07169282585</v>
      </c>
      <c r="F16" s="17">
        <f t="shared" si="2"/>
        <v>12048.10548491455</v>
      </c>
      <c r="G16" s="25">
        <f>$E$4-SUM($E$9:E16)</f>
        <v>14380000.510204632</v>
      </c>
      <c r="H16" s="467"/>
      <c r="I16" s="33"/>
      <c r="L16">
        <v>5211618.638402069</v>
      </c>
    </row>
    <row r="17" spans="1:12" ht="13.5">
      <c r="A17" s="33"/>
      <c r="B17" s="469"/>
      <c r="C17" s="18">
        <v>9</v>
      </c>
      <c r="D17" s="27">
        <f t="shared" si="0"/>
        <v>89774.1771777404</v>
      </c>
      <c r="E17" s="17">
        <f t="shared" si="1"/>
        <v>77790.84341923655</v>
      </c>
      <c r="F17" s="17">
        <f t="shared" si="2"/>
        <v>11983.333758503863</v>
      </c>
      <c r="G17" s="25">
        <f>$E$4-SUM($E$9:E17)</f>
        <v>14302209.666785395</v>
      </c>
      <c r="H17" s="467"/>
      <c r="I17" s="33"/>
      <c r="L17">
        <v>4397828.177565414</v>
      </c>
    </row>
    <row r="18" spans="1:12" ht="13.5">
      <c r="A18" s="33"/>
      <c r="B18" s="469"/>
      <c r="C18" s="18">
        <v>10</v>
      </c>
      <c r="D18" s="27">
        <f t="shared" si="0"/>
        <v>89774.1771777404</v>
      </c>
      <c r="E18" s="17">
        <f t="shared" si="1"/>
        <v>77855.6691220859</v>
      </c>
      <c r="F18" s="17">
        <f t="shared" si="2"/>
        <v>11918.508055654496</v>
      </c>
      <c r="G18" s="25">
        <f>$E$4-SUM($E$9:E18)</f>
        <v>14224353.99766331</v>
      </c>
      <c r="H18" s="467"/>
      <c r="I18" s="33"/>
      <c r="L18">
        <v>3567611.880617017</v>
      </c>
    </row>
    <row r="19" spans="1:12" ht="13.5">
      <c r="A19" s="33"/>
      <c r="B19" s="469"/>
      <c r="C19" s="18">
        <v>11</v>
      </c>
      <c r="D19" s="27">
        <f t="shared" si="0"/>
        <v>89774.1771777404</v>
      </c>
      <c r="E19" s="17">
        <f t="shared" si="1"/>
        <v>77920.54884635432</v>
      </c>
      <c r="F19" s="17">
        <f t="shared" si="2"/>
        <v>11853.628331386093</v>
      </c>
      <c r="G19" s="25">
        <f>$E$4-SUM($E$9:E19)</f>
        <v>14146433.448816955</v>
      </c>
      <c r="H19" s="467"/>
      <c r="I19" s="33"/>
      <c r="L19">
        <v>2720638.202638436</v>
      </c>
    </row>
    <row r="20" spans="1:12" ht="14.25" thickBot="1">
      <c r="A20" s="33"/>
      <c r="B20" s="469"/>
      <c r="C20" s="18">
        <v>12</v>
      </c>
      <c r="D20" s="27">
        <f t="shared" si="0"/>
        <v>89774.1771777404</v>
      </c>
      <c r="E20" s="17">
        <f t="shared" si="1"/>
        <v>77985.48263705961</v>
      </c>
      <c r="F20" s="17">
        <f t="shared" si="2"/>
        <v>11788.694540680799</v>
      </c>
      <c r="G20" s="25">
        <f>$E$4-SUM($E$9:E20)</f>
        <v>14068447.966179896</v>
      </c>
      <c r="H20" s="468"/>
      <c r="I20" s="33"/>
      <c r="L20">
        <v>1856568.9066906665</v>
      </c>
    </row>
    <row r="21" spans="1:12" ht="13.5">
      <c r="A21" s="33"/>
      <c r="B21" s="469" t="s">
        <v>132</v>
      </c>
      <c r="C21" s="18">
        <v>13</v>
      </c>
      <c r="D21" s="27">
        <f t="shared" si="0"/>
        <v>89774.1771777404</v>
      </c>
      <c r="E21" s="17">
        <f t="shared" si="1"/>
        <v>78050.47053925715</v>
      </c>
      <c r="F21" s="17">
        <f t="shared" si="2"/>
        <v>11723.706638483245</v>
      </c>
      <c r="G21" s="25">
        <f>$E$4-SUM($E$9:E21)</f>
        <v>13990397.495640637</v>
      </c>
      <c r="H21" s="466">
        <f>+G32</f>
        <v>13127537.597063659</v>
      </c>
      <c r="I21" s="33"/>
      <c r="L21">
        <v>975058.928740019</v>
      </c>
    </row>
    <row r="22" spans="1:12" ht="13.5">
      <c r="A22" s="33"/>
      <c r="B22" s="469"/>
      <c r="C22" s="18">
        <v>14</v>
      </c>
      <c r="D22" s="27">
        <f t="shared" si="0"/>
        <v>89774.1771777404</v>
      </c>
      <c r="E22" s="17">
        <f t="shared" si="1"/>
        <v>78115.51259803987</v>
      </c>
      <c r="F22" s="17">
        <f t="shared" si="2"/>
        <v>11658.664579700533</v>
      </c>
      <c r="G22" s="25">
        <f>$E$4-SUM($E$9:E22)</f>
        <v>13912281.983042598</v>
      </c>
      <c r="H22" s="467"/>
      <c r="I22" s="33"/>
      <c r="L22">
        <v>75756.23985762522</v>
      </c>
    </row>
    <row r="23" spans="1:12" ht="13.5">
      <c r="A23" s="33"/>
      <c r="B23" s="469"/>
      <c r="C23" s="18">
        <v>15</v>
      </c>
      <c r="D23" s="27">
        <f t="shared" si="0"/>
        <v>89774.1771777404</v>
      </c>
      <c r="E23" s="17">
        <f t="shared" si="1"/>
        <v>78180.60885853824</v>
      </c>
      <c r="F23" s="17">
        <f t="shared" si="2"/>
        <v>11593.568319202166</v>
      </c>
      <c r="G23" s="25">
        <f>$E$4-SUM($E$9:E23)</f>
        <v>13834101.37418406</v>
      </c>
      <c r="H23" s="467"/>
      <c r="I23" s="33"/>
      <c r="L23">
        <v>6.221234798431396E-07</v>
      </c>
    </row>
    <row r="24" spans="1:12" ht="13.5">
      <c r="A24" s="33"/>
      <c r="B24" s="469"/>
      <c r="C24" s="18">
        <v>16</v>
      </c>
      <c r="D24" s="27">
        <f t="shared" si="0"/>
        <v>89774.1771777404</v>
      </c>
      <c r="E24" s="17">
        <f t="shared" si="1"/>
        <v>78245.75936592036</v>
      </c>
      <c r="F24" s="17">
        <f t="shared" si="2"/>
        <v>11528.41781182005</v>
      </c>
      <c r="G24" s="25">
        <f>$E$4-SUM($E$9:E24)</f>
        <v>13755855.614818139</v>
      </c>
      <c r="H24" s="467"/>
      <c r="I24" s="33"/>
      <c r="L24">
        <v>6.221234798431396E-07</v>
      </c>
    </row>
    <row r="25" spans="1:12" ht="13.5">
      <c r="A25" s="33"/>
      <c r="B25" s="469"/>
      <c r="C25" s="18">
        <v>17</v>
      </c>
      <c r="D25" s="27">
        <f t="shared" si="0"/>
        <v>89774.1771777404</v>
      </c>
      <c r="E25" s="17">
        <f t="shared" si="1"/>
        <v>78310.96416539195</v>
      </c>
      <c r="F25" s="17">
        <f t="shared" si="2"/>
        <v>11463.21301234845</v>
      </c>
      <c r="G25" s="25">
        <f>$E$4-SUM($E$9:E25)</f>
        <v>13677544.650652748</v>
      </c>
      <c r="H25" s="467"/>
      <c r="I25" s="33"/>
      <c r="L25">
        <v>6.221234798431396E-07</v>
      </c>
    </row>
    <row r="26" spans="1:12" ht="13.5">
      <c r="A26" s="33"/>
      <c r="B26" s="469"/>
      <c r="C26" s="18">
        <v>18</v>
      </c>
      <c r="D26" s="27">
        <f t="shared" si="0"/>
        <v>89774.1771777404</v>
      </c>
      <c r="E26" s="17">
        <f t="shared" si="1"/>
        <v>78376.22330219645</v>
      </c>
      <c r="F26" s="17">
        <f t="shared" si="2"/>
        <v>11397.953875543957</v>
      </c>
      <c r="G26" s="25">
        <f>$E$4-SUM($E$9:E26)</f>
        <v>13599168.42735055</v>
      </c>
      <c r="H26" s="467"/>
      <c r="I26" s="33"/>
      <c r="L26">
        <v>6.221234798431396E-07</v>
      </c>
    </row>
    <row r="27" spans="1:12" ht="13.5">
      <c r="A27" s="33"/>
      <c r="B27" s="469"/>
      <c r="C27" s="18">
        <v>19</v>
      </c>
      <c r="D27" s="27">
        <f t="shared" si="0"/>
        <v>89774.1771777404</v>
      </c>
      <c r="E27" s="17">
        <f t="shared" si="1"/>
        <v>78441.53682161494</v>
      </c>
      <c r="F27" s="17">
        <f t="shared" si="2"/>
        <v>11332.640356125461</v>
      </c>
      <c r="G27" s="25">
        <f>$E$4-SUM($E$9:E27)</f>
        <v>13520726.890528936</v>
      </c>
      <c r="H27" s="467"/>
      <c r="I27" s="33"/>
      <c r="L27">
        <v>6.221234798431396E-07</v>
      </c>
    </row>
    <row r="28" spans="1:9" ht="13.5">
      <c r="A28" s="33"/>
      <c r="B28" s="469"/>
      <c r="C28" s="18">
        <v>20</v>
      </c>
      <c r="D28" s="27">
        <f t="shared" si="0"/>
        <v>89774.1771777404</v>
      </c>
      <c r="E28" s="17">
        <f t="shared" si="1"/>
        <v>78506.9047689663</v>
      </c>
      <c r="F28" s="17">
        <f t="shared" si="2"/>
        <v>11267.272408774115</v>
      </c>
      <c r="G28" s="25">
        <f>$E$4-SUM($E$9:E28)</f>
        <v>13442219.98575997</v>
      </c>
      <c r="H28" s="467"/>
      <c r="I28" s="33"/>
    </row>
    <row r="29" spans="1:9" ht="13.5">
      <c r="A29" s="33"/>
      <c r="B29" s="469"/>
      <c r="C29" s="18">
        <v>21</v>
      </c>
      <c r="D29" s="27">
        <f t="shared" si="0"/>
        <v>89774.1771777404</v>
      </c>
      <c r="E29" s="17">
        <f t="shared" si="1"/>
        <v>78572.3271896071</v>
      </c>
      <c r="F29" s="17">
        <f t="shared" si="2"/>
        <v>11201.849988133308</v>
      </c>
      <c r="G29" s="25">
        <f>$E$4-SUM($E$9:E29)</f>
        <v>13363647.658570362</v>
      </c>
      <c r="H29" s="467"/>
      <c r="I29" s="33"/>
    </row>
    <row r="30" spans="1:9" ht="13.5">
      <c r="A30" s="33"/>
      <c r="B30" s="469"/>
      <c r="C30" s="18">
        <v>22</v>
      </c>
      <c r="D30" s="27">
        <f t="shared" si="0"/>
        <v>89774.1771777404</v>
      </c>
      <c r="E30" s="17">
        <f t="shared" si="1"/>
        <v>78637.80412893176</v>
      </c>
      <c r="F30" s="17">
        <f t="shared" si="2"/>
        <v>11136.373048808637</v>
      </c>
      <c r="G30" s="25">
        <f>$E$4-SUM($E$9:E30)</f>
        <v>13285009.85444143</v>
      </c>
      <c r="H30" s="467"/>
      <c r="I30" s="33"/>
    </row>
    <row r="31" spans="1:9" ht="13.5">
      <c r="A31" s="33"/>
      <c r="B31" s="469"/>
      <c r="C31" s="18">
        <v>23</v>
      </c>
      <c r="D31" s="27">
        <f t="shared" si="0"/>
        <v>89774.1771777404</v>
      </c>
      <c r="E31" s="17">
        <f t="shared" si="1"/>
        <v>78703.33563237255</v>
      </c>
      <c r="F31" s="17">
        <f t="shared" si="2"/>
        <v>11070.84154536786</v>
      </c>
      <c r="G31" s="25">
        <f>$E$4-SUM($E$9:E31)</f>
        <v>13206306.518809058</v>
      </c>
      <c r="H31" s="467"/>
      <c r="I31" s="33"/>
    </row>
    <row r="32" spans="1:9" ht="14.25" thickBot="1">
      <c r="A32" s="33"/>
      <c r="B32" s="469"/>
      <c r="C32" s="18">
        <v>24</v>
      </c>
      <c r="D32" s="27">
        <f t="shared" si="0"/>
        <v>89774.1771777404</v>
      </c>
      <c r="E32" s="17">
        <f t="shared" si="1"/>
        <v>78768.92174539952</v>
      </c>
      <c r="F32" s="17">
        <f t="shared" si="2"/>
        <v>11005.25543234088</v>
      </c>
      <c r="G32" s="25">
        <f>$E$4-SUM($E$9:E32)</f>
        <v>13127537.597063659</v>
      </c>
      <c r="H32" s="468"/>
      <c r="I32" s="33"/>
    </row>
    <row r="33" spans="1:9" ht="13.5">
      <c r="A33" s="33"/>
      <c r="B33" s="469" t="s">
        <v>133</v>
      </c>
      <c r="C33" s="18">
        <v>25</v>
      </c>
      <c r="D33" s="27">
        <f t="shared" si="0"/>
        <v>89774.1771777404</v>
      </c>
      <c r="E33" s="17">
        <f t="shared" si="1"/>
        <v>78834.56251352068</v>
      </c>
      <c r="F33" s="17">
        <f t="shared" si="2"/>
        <v>10939.614664219716</v>
      </c>
      <c r="G33" s="25">
        <f>$E$4-SUM($E$9:E33)</f>
        <v>13048703.034550138</v>
      </c>
      <c r="H33" s="466">
        <f>+G44</f>
        <v>12177174.879180938</v>
      </c>
      <c r="I33" s="33"/>
    </row>
    <row r="34" spans="1:9" ht="13.5">
      <c r="A34" s="33"/>
      <c r="B34" s="469"/>
      <c r="C34" s="18">
        <v>26</v>
      </c>
      <c r="D34" s="27">
        <f t="shared" si="0"/>
        <v>89774.1771777404</v>
      </c>
      <c r="E34" s="17">
        <f t="shared" si="1"/>
        <v>78900.25798228195</v>
      </c>
      <c r="F34" s="17">
        <f t="shared" si="2"/>
        <v>10873.919195458448</v>
      </c>
      <c r="G34" s="25">
        <f>$E$4-SUM($E$9:E34)</f>
        <v>12969802.776567856</v>
      </c>
      <c r="H34" s="467"/>
      <c r="I34" s="33"/>
    </row>
    <row r="35" spans="1:9" ht="13.5">
      <c r="A35" s="33"/>
      <c r="B35" s="469"/>
      <c r="C35" s="18">
        <v>27</v>
      </c>
      <c r="D35" s="27">
        <f t="shared" si="0"/>
        <v>89774.1771777404</v>
      </c>
      <c r="E35" s="17">
        <f t="shared" si="1"/>
        <v>78966.00819726719</v>
      </c>
      <c r="F35" s="17">
        <f t="shared" si="2"/>
        <v>10808.168980473214</v>
      </c>
      <c r="G35" s="25">
        <f>$E$4-SUM($E$9:E35)</f>
        <v>12890836.76837059</v>
      </c>
      <c r="H35" s="467"/>
      <c r="I35" s="33"/>
    </row>
    <row r="36" spans="1:9" ht="13.5">
      <c r="A36" s="33"/>
      <c r="B36" s="469"/>
      <c r="C36" s="18">
        <v>28</v>
      </c>
      <c r="D36" s="27">
        <f t="shared" si="0"/>
        <v>89774.1771777404</v>
      </c>
      <c r="E36" s="17">
        <f t="shared" si="1"/>
        <v>79031.81320409825</v>
      </c>
      <c r="F36" s="17">
        <f t="shared" si="2"/>
        <v>10742.363973642157</v>
      </c>
      <c r="G36" s="25">
        <f>$E$4-SUM($E$9:E36)</f>
        <v>12811804.95516649</v>
      </c>
      <c r="H36" s="467"/>
      <c r="I36" s="33"/>
    </row>
    <row r="37" spans="1:9" ht="13.5">
      <c r="A37" s="33"/>
      <c r="B37" s="469"/>
      <c r="C37" s="18">
        <v>29</v>
      </c>
      <c r="D37" s="27">
        <f t="shared" si="0"/>
        <v>89774.1771777404</v>
      </c>
      <c r="E37" s="17">
        <f t="shared" si="1"/>
        <v>79097.673048435</v>
      </c>
      <c r="F37" s="17">
        <f t="shared" si="2"/>
        <v>10676.50412930541</v>
      </c>
      <c r="G37" s="25">
        <f>$E$4-SUM($E$9:E37)</f>
        <v>12732707.282118056</v>
      </c>
      <c r="H37" s="467"/>
      <c r="I37" s="33"/>
    </row>
    <row r="38" spans="1:9" ht="13.5">
      <c r="A38" s="33"/>
      <c r="B38" s="469"/>
      <c r="C38" s="18">
        <v>30</v>
      </c>
      <c r="D38" s="27">
        <f t="shared" si="0"/>
        <v>89774.1771777404</v>
      </c>
      <c r="E38" s="17">
        <f t="shared" si="1"/>
        <v>79163.58777597536</v>
      </c>
      <c r="F38" s="17">
        <f t="shared" si="2"/>
        <v>10610.589401765048</v>
      </c>
      <c r="G38" s="25">
        <f>$E$4-SUM($E$9:E38)</f>
        <v>12653543.69434208</v>
      </c>
      <c r="H38" s="467"/>
      <c r="I38" s="33"/>
    </row>
    <row r="39" spans="1:9" ht="13.5">
      <c r="A39" s="33"/>
      <c r="B39" s="469"/>
      <c r="C39" s="18">
        <v>31</v>
      </c>
      <c r="D39" s="27">
        <f t="shared" si="0"/>
        <v>89774.1771777404</v>
      </c>
      <c r="E39" s="17">
        <f t="shared" si="1"/>
        <v>79229.55743245533</v>
      </c>
      <c r="F39" s="17">
        <f t="shared" si="2"/>
        <v>10544.619745285068</v>
      </c>
      <c r="G39" s="25">
        <f>$E$4-SUM($E$9:E39)</f>
        <v>12574314.136909625</v>
      </c>
      <c r="H39" s="467"/>
      <c r="I39" s="33"/>
    </row>
    <row r="40" spans="1:9" ht="13.5">
      <c r="A40" s="33"/>
      <c r="B40" s="469"/>
      <c r="C40" s="18">
        <v>32</v>
      </c>
      <c r="D40" s="27">
        <f t="shared" si="0"/>
        <v>89774.1771777404</v>
      </c>
      <c r="E40" s="17">
        <f t="shared" si="1"/>
        <v>79295.58206364905</v>
      </c>
      <c r="F40" s="17">
        <f t="shared" si="2"/>
        <v>10478.595114091355</v>
      </c>
      <c r="G40" s="25">
        <f>$E$4-SUM($E$9:E40)</f>
        <v>12495018.554845976</v>
      </c>
      <c r="H40" s="467"/>
      <c r="I40" s="33"/>
    </row>
    <row r="41" spans="1:9" ht="13.5">
      <c r="A41" s="33"/>
      <c r="B41" s="469"/>
      <c r="C41" s="18">
        <v>33</v>
      </c>
      <c r="D41" s="27">
        <f t="shared" si="0"/>
        <v>89774.1771777404</v>
      </c>
      <c r="E41" s="17">
        <f t="shared" si="1"/>
        <v>79361.66171536875</v>
      </c>
      <c r="F41" s="17">
        <f t="shared" si="2"/>
        <v>10412.515462371648</v>
      </c>
      <c r="G41" s="25">
        <f>$E$4-SUM($E$9:E41)</f>
        <v>12415656.893130608</v>
      </c>
      <c r="H41" s="467"/>
      <c r="I41" s="33"/>
    </row>
    <row r="42" spans="1:9" ht="13.5">
      <c r="A42" s="33"/>
      <c r="B42" s="469"/>
      <c r="C42" s="18">
        <v>34</v>
      </c>
      <c r="D42" s="27">
        <f t="shared" si="0"/>
        <v>89774.1771777404</v>
      </c>
      <c r="E42" s="17">
        <f t="shared" si="1"/>
        <v>79427.7964334649</v>
      </c>
      <c r="F42" s="17">
        <f t="shared" si="2"/>
        <v>10346.380744275508</v>
      </c>
      <c r="G42" s="25">
        <f>$E$4-SUM($E$9:E42)</f>
        <v>12336229.096697142</v>
      </c>
      <c r="H42" s="467"/>
      <c r="I42" s="33"/>
    </row>
    <row r="43" spans="1:9" ht="13.5">
      <c r="A43" s="33"/>
      <c r="B43" s="469"/>
      <c r="C43" s="18">
        <v>35</v>
      </c>
      <c r="D43" s="27">
        <f t="shared" si="0"/>
        <v>89774.1771777404</v>
      </c>
      <c r="E43" s="17">
        <f t="shared" si="1"/>
        <v>79493.98626382611</v>
      </c>
      <c r="F43" s="17">
        <f t="shared" si="2"/>
        <v>10280.190913914286</v>
      </c>
      <c r="G43" s="25">
        <f>$E$4-SUM($E$9:E43)</f>
        <v>12256735.110433316</v>
      </c>
      <c r="H43" s="467"/>
      <c r="I43" s="33"/>
    </row>
    <row r="44" spans="1:9" ht="14.25" thickBot="1">
      <c r="A44" s="33"/>
      <c r="B44" s="469"/>
      <c r="C44" s="18">
        <v>36</v>
      </c>
      <c r="D44" s="27">
        <f t="shared" si="0"/>
        <v>89774.1771777404</v>
      </c>
      <c r="E44" s="17">
        <f t="shared" si="1"/>
        <v>79560.23125237931</v>
      </c>
      <c r="F44" s="17">
        <f t="shared" si="2"/>
        <v>10213.945925361098</v>
      </c>
      <c r="G44" s="25">
        <f>$E$4-SUM($E$9:E44)</f>
        <v>12177174.879180938</v>
      </c>
      <c r="H44" s="468"/>
      <c r="I44" s="33"/>
    </row>
    <row r="45" spans="1:9" ht="13.5">
      <c r="A45" s="33"/>
      <c r="B45" s="469" t="s">
        <v>134</v>
      </c>
      <c r="C45" s="18">
        <v>37</v>
      </c>
      <c r="D45" s="27">
        <f t="shared" si="0"/>
        <v>89774.1771777404</v>
      </c>
      <c r="E45" s="17">
        <f t="shared" si="1"/>
        <v>79626.53144508963</v>
      </c>
      <c r="F45" s="17">
        <f t="shared" si="2"/>
        <v>10147.645732650783</v>
      </c>
      <c r="G45" s="25">
        <f>$E$4-SUM($E$9:E45)</f>
        <v>12097548.347735848</v>
      </c>
      <c r="H45" s="466">
        <f>+G56</f>
        <v>11217264.854605729</v>
      </c>
      <c r="I45" s="33"/>
    </row>
    <row r="46" spans="1:9" ht="13.5">
      <c r="A46" s="33"/>
      <c r="B46" s="469"/>
      <c r="C46" s="18">
        <v>38</v>
      </c>
      <c r="D46" s="27">
        <f t="shared" si="0"/>
        <v>89774.1771777404</v>
      </c>
      <c r="E46" s="17">
        <f t="shared" si="1"/>
        <v>79692.88688796053</v>
      </c>
      <c r="F46" s="17">
        <f t="shared" si="2"/>
        <v>10081.290289779874</v>
      </c>
      <c r="G46" s="25">
        <f>$E$4-SUM($E$9:E46)</f>
        <v>12017855.460847886</v>
      </c>
      <c r="H46" s="467"/>
      <c r="I46" s="33"/>
    </row>
    <row r="47" spans="1:9" ht="13.5">
      <c r="A47" s="33"/>
      <c r="B47" s="469"/>
      <c r="C47" s="18">
        <v>39</v>
      </c>
      <c r="D47" s="27">
        <f t="shared" si="0"/>
        <v>89774.1771777404</v>
      </c>
      <c r="E47" s="17">
        <f t="shared" si="1"/>
        <v>79759.29762703383</v>
      </c>
      <c r="F47" s="17">
        <f t="shared" si="2"/>
        <v>10014.879550706573</v>
      </c>
      <c r="G47" s="25">
        <f>$E$4-SUM($E$9:E47)</f>
        <v>11938096.163220853</v>
      </c>
      <c r="H47" s="467"/>
      <c r="I47" s="33"/>
    </row>
    <row r="48" spans="1:9" ht="13.5">
      <c r="A48" s="33"/>
      <c r="B48" s="469"/>
      <c r="C48" s="18">
        <v>40</v>
      </c>
      <c r="D48" s="27">
        <f t="shared" si="0"/>
        <v>89774.1771777404</v>
      </c>
      <c r="E48" s="17">
        <f t="shared" si="1"/>
        <v>79825.7637083897</v>
      </c>
      <c r="F48" s="17">
        <f t="shared" si="2"/>
        <v>9948.413469350711</v>
      </c>
      <c r="G48" s="25">
        <f>$E$4-SUM($E$9:E48)</f>
        <v>11858270.399512462</v>
      </c>
      <c r="H48" s="467"/>
      <c r="I48" s="33"/>
    </row>
    <row r="49" spans="1:9" ht="13.5">
      <c r="A49" s="33"/>
      <c r="B49" s="469"/>
      <c r="C49" s="18">
        <v>41</v>
      </c>
      <c r="D49" s="27">
        <f t="shared" si="0"/>
        <v>89774.1771777404</v>
      </c>
      <c r="E49" s="17">
        <f t="shared" si="1"/>
        <v>79892.28517814669</v>
      </c>
      <c r="F49" s="17">
        <f t="shared" si="2"/>
        <v>9881.891999593721</v>
      </c>
      <c r="G49" s="25">
        <f>$E$4-SUM($E$9:E49)</f>
        <v>11778378.114334317</v>
      </c>
      <c r="H49" s="467"/>
      <c r="I49" s="33"/>
    </row>
    <row r="50" spans="1:9" ht="13.5">
      <c r="A50" s="33"/>
      <c r="B50" s="469"/>
      <c r="C50" s="18">
        <v>42</v>
      </c>
      <c r="D50" s="27">
        <f t="shared" si="0"/>
        <v>89774.1771777404</v>
      </c>
      <c r="E50" s="17">
        <f t="shared" si="1"/>
        <v>79958.86208246181</v>
      </c>
      <c r="F50" s="17">
        <f t="shared" si="2"/>
        <v>9815.315095278598</v>
      </c>
      <c r="G50" s="25">
        <f>$E$4-SUM($E$9:E50)</f>
        <v>11698419.252251854</v>
      </c>
      <c r="H50" s="467"/>
      <c r="I50" s="33"/>
    </row>
    <row r="51" spans="1:9" ht="13.5">
      <c r="A51" s="33"/>
      <c r="B51" s="469"/>
      <c r="C51" s="18">
        <v>43</v>
      </c>
      <c r="D51" s="27">
        <f t="shared" si="0"/>
        <v>89774.1771777404</v>
      </c>
      <c r="E51" s="17">
        <f t="shared" si="1"/>
        <v>80025.49446753053</v>
      </c>
      <c r="F51" s="17">
        <f t="shared" si="2"/>
        <v>9748.68271020988</v>
      </c>
      <c r="G51" s="25">
        <f>$E$4-SUM($E$9:E51)</f>
        <v>11618393.757784324</v>
      </c>
      <c r="H51" s="467"/>
      <c r="I51" s="33"/>
    </row>
    <row r="52" spans="1:9" ht="13.5">
      <c r="A52" s="33"/>
      <c r="B52" s="469"/>
      <c r="C52" s="18">
        <v>44</v>
      </c>
      <c r="D52" s="27">
        <f t="shared" si="0"/>
        <v>89774.1771777404</v>
      </c>
      <c r="E52" s="17">
        <f t="shared" si="1"/>
        <v>80092.1823795868</v>
      </c>
      <c r="F52" s="17">
        <f t="shared" si="2"/>
        <v>9681.994798153604</v>
      </c>
      <c r="G52" s="25">
        <f>$E$4-SUM($E$9:E52)</f>
        <v>11538301.575404737</v>
      </c>
      <c r="H52" s="467"/>
      <c r="I52" s="33"/>
    </row>
    <row r="53" spans="1:9" ht="13.5">
      <c r="A53" s="33"/>
      <c r="B53" s="469"/>
      <c r="C53" s="18">
        <v>45</v>
      </c>
      <c r="D53" s="27">
        <f t="shared" si="0"/>
        <v>89774.1771777404</v>
      </c>
      <c r="E53" s="17">
        <f t="shared" si="1"/>
        <v>80158.92586490311</v>
      </c>
      <c r="F53" s="17">
        <f t="shared" si="2"/>
        <v>9615.251312837281</v>
      </c>
      <c r="G53" s="25">
        <f>$E$4-SUM($E$9:E53)</f>
        <v>11458142.649539834</v>
      </c>
      <c r="H53" s="467"/>
      <c r="I53" s="33"/>
    </row>
    <row r="54" spans="1:9" ht="13.5">
      <c r="A54" s="33"/>
      <c r="B54" s="469"/>
      <c r="C54" s="18">
        <v>46</v>
      </c>
      <c r="D54" s="27">
        <f t="shared" si="0"/>
        <v>89774.1771777404</v>
      </c>
      <c r="E54" s="17">
        <f t="shared" si="1"/>
        <v>80225.72496979055</v>
      </c>
      <c r="F54" s="17">
        <f t="shared" si="2"/>
        <v>9548.452207949862</v>
      </c>
      <c r="G54" s="25">
        <f>$E$4-SUM($E$9:E54)</f>
        <v>11377916.924570043</v>
      </c>
      <c r="H54" s="467"/>
      <c r="I54" s="33"/>
    </row>
    <row r="55" spans="1:9" ht="13.5">
      <c r="A55" s="33"/>
      <c r="B55" s="469"/>
      <c r="C55" s="18">
        <v>47</v>
      </c>
      <c r="D55" s="27">
        <f t="shared" si="0"/>
        <v>89774.1771777404</v>
      </c>
      <c r="E55" s="17">
        <f t="shared" si="1"/>
        <v>80292.57974059871</v>
      </c>
      <c r="F55" s="17">
        <f t="shared" si="2"/>
        <v>9481.597437141705</v>
      </c>
      <c r="G55" s="25">
        <f>$E$4-SUM($E$9:E55)</f>
        <v>11297624.344829444</v>
      </c>
      <c r="H55" s="467"/>
      <c r="I55" s="33"/>
    </row>
    <row r="56" spans="1:9" ht="14.25" thickBot="1">
      <c r="A56" s="33"/>
      <c r="B56" s="469"/>
      <c r="C56" s="18">
        <v>48</v>
      </c>
      <c r="D56" s="27">
        <f t="shared" si="0"/>
        <v>89774.1771777404</v>
      </c>
      <c r="E56" s="17">
        <f t="shared" si="1"/>
        <v>80359.49022371585</v>
      </c>
      <c r="F56" s="17">
        <f t="shared" si="2"/>
        <v>9414.686954024539</v>
      </c>
      <c r="G56" s="25">
        <f>$E$4-SUM($E$9:E56)</f>
        <v>11217264.854605729</v>
      </c>
      <c r="H56" s="468"/>
      <c r="I56" s="33"/>
    </row>
    <row r="57" spans="1:9" ht="13.5">
      <c r="A57" s="33"/>
      <c r="B57" s="469" t="s">
        <v>135</v>
      </c>
      <c r="C57" s="18">
        <v>49</v>
      </c>
      <c r="D57" s="27">
        <f t="shared" si="0"/>
        <v>89774.1771777404</v>
      </c>
      <c r="E57" s="17">
        <f t="shared" si="1"/>
        <v>80426.45646556896</v>
      </c>
      <c r="F57" s="17">
        <f t="shared" si="2"/>
        <v>9347.720712171444</v>
      </c>
      <c r="G57" s="25">
        <f>$E$4-SUM($E$9:E57)</f>
        <v>11136838.39814016</v>
      </c>
      <c r="H57" s="466">
        <f>+G68</f>
        <v>10247711.611468425</v>
      </c>
      <c r="I57" s="33"/>
    </row>
    <row r="58" spans="1:9" ht="13.5">
      <c r="A58" s="33"/>
      <c r="B58" s="469"/>
      <c r="C58" s="18">
        <v>50</v>
      </c>
      <c r="D58" s="27">
        <f t="shared" si="0"/>
        <v>89774.1771777404</v>
      </c>
      <c r="E58" s="17">
        <f t="shared" si="1"/>
        <v>80493.4785126236</v>
      </c>
      <c r="F58" s="17">
        <f t="shared" si="2"/>
        <v>9280.6986651168</v>
      </c>
      <c r="G58" s="25">
        <f>$E$4-SUM($E$9:E58)</f>
        <v>11056344.919627536</v>
      </c>
      <c r="H58" s="467"/>
      <c r="I58" s="33"/>
    </row>
    <row r="59" spans="1:9" ht="13.5">
      <c r="A59" s="33"/>
      <c r="B59" s="469"/>
      <c r="C59" s="18">
        <v>51</v>
      </c>
      <c r="D59" s="27">
        <f t="shared" si="0"/>
        <v>89774.1771777404</v>
      </c>
      <c r="E59" s="17">
        <f t="shared" si="1"/>
        <v>80560.55641138412</v>
      </c>
      <c r="F59" s="17">
        <f t="shared" si="2"/>
        <v>9213.620766356282</v>
      </c>
      <c r="G59" s="25">
        <f>$E$4-SUM($E$9:E59)</f>
        <v>10975784.363216152</v>
      </c>
      <c r="H59" s="467"/>
      <c r="I59" s="33"/>
    </row>
    <row r="60" spans="1:9" ht="13.5">
      <c r="A60" s="33"/>
      <c r="B60" s="469"/>
      <c r="C60" s="18">
        <v>52</v>
      </c>
      <c r="D60" s="27">
        <f t="shared" si="0"/>
        <v>89774.1771777404</v>
      </c>
      <c r="E60" s="17">
        <f t="shared" si="1"/>
        <v>80627.6902083936</v>
      </c>
      <c r="F60" s="17">
        <f t="shared" si="2"/>
        <v>9146.486969346795</v>
      </c>
      <c r="G60" s="25">
        <f>$E$4-SUM($E$9:E60)</f>
        <v>10895156.673007758</v>
      </c>
      <c r="H60" s="467"/>
      <c r="I60" s="33"/>
    </row>
    <row r="61" spans="1:9" ht="13.5">
      <c r="A61" s="33"/>
      <c r="B61" s="469"/>
      <c r="C61" s="18">
        <v>53</v>
      </c>
      <c r="D61" s="27">
        <f t="shared" si="0"/>
        <v>89774.1771777404</v>
      </c>
      <c r="E61" s="17">
        <f t="shared" si="1"/>
        <v>80694.87995023394</v>
      </c>
      <c r="F61" s="17">
        <f t="shared" si="2"/>
        <v>9079.297227506468</v>
      </c>
      <c r="G61" s="25">
        <f>$E$4-SUM($E$9:E61)</f>
        <v>10814461.793057524</v>
      </c>
      <c r="H61" s="467"/>
      <c r="I61" s="33"/>
    </row>
    <row r="62" spans="1:9" ht="13.5">
      <c r="A62" s="33"/>
      <c r="B62" s="469"/>
      <c r="C62" s="18">
        <v>54</v>
      </c>
      <c r="D62" s="27">
        <f t="shared" si="0"/>
        <v>89774.1771777404</v>
      </c>
      <c r="E62" s="17">
        <f t="shared" si="1"/>
        <v>80762.1256835258</v>
      </c>
      <c r="F62" s="17">
        <f t="shared" si="2"/>
        <v>9012.051494214604</v>
      </c>
      <c r="G62" s="25">
        <f>$E$4-SUM($E$9:E62)</f>
        <v>10733699.667374</v>
      </c>
      <c r="H62" s="467"/>
      <c r="I62" s="33"/>
    </row>
    <row r="63" spans="1:9" ht="13.5">
      <c r="A63" s="33"/>
      <c r="B63" s="469"/>
      <c r="C63" s="18">
        <v>55</v>
      </c>
      <c r="D63" s="27">
        <f t="shared" si="0"/>
        <v>89774.1771777404</v>
      </c>
      <c r="E63" s="17">
        <f t="shared" si="1"/>
        <v>80829.42745492874</v>
      </c>
      <c r="F63" s="17">
        <f t="shared" si="2"/>
        <v>8944.749722811668</v>
      </c>
      <c r="G63" s="25">
        <f>$E$4-SUM($E$9:E63)</f>
        <v>10652870.23991907</v>
      </c>
      <c r="H63" s="467"/>
      <c r="I63" s="33"/>
    </row>
    <row r="64" spans="1:9" ht="13.5">
      <c r="A64" s="33"/>
      <c r="B64" s="469"/>
      <c r="C64" s="18">
        <v>56</v>
      </c>
      <c r="D64" s="27">
        <f t="shared" si="0"/>
        <v>89774.1771777404</v>
      </c>
      <c r="E64" s="17">
        <f t="shared" si="1"/>
        <v>80896.78531114118</v>
      </c>
      <c r="F64" s="17">
        <f t="shared" si="2"/>
        <v>8877.391866599226</v>
      </c>
      <c r="G64" s="25">
        <f>$E$4-SUM($E$9:E64)</f>
        <v>10571973.45460793</v>
      </c>
      <c r="H64" s="467"/>
      <c r="I64" s="33"/>
    </row>
    <row r="65" spans="1:9" ht="13.5">
      <c r="A65" s="33"/>
      <c r="B65" s="469"/>
      <c r="C65" s="18">
        <v>57</v>
      </c>
      <c r="D65" s="27">
        <f t="shared" si="0"/>
        <v>89774.1771777404</v>
      </c>
      <c r="E65" s="17">
        <f t="shared" si="1"/>
        <v>80964.19929890046</v>
      </c>
      <c r="F65" s="17">
        <f t="shared" si="2"/>
        <v>8809.97787883994</v>
      </c>
      <c r="G65" s="25">
        <f>$E$4-SUM($E$9:E65)</f>
        <v>10491009.255309029</v>
      </c>
      <c r="H65" s="467"/>
      <c r="I65" s="33"/>
    </row>
    <row r="66" spans="1:9" ht="13.5">
      <c r="A66" s="33"/>
      <c r="B66" s="469"/>
      <c r="C66" s="18">
        <v>58</v>
      </c>
      <c r="D66" s="27">
        <f t="shared" si="0"/>
        <v>89774.1771777404</v>
      </c>
      <c r="E66" s="17">
        <f t="shared" si="1"/>
        <v>81031.66946498287</v>
      </c>
      <c r="F66" s="17">
        <f t="shared" si="2"/>
        <v>8742.507712757524</v>
      </c>
      <c r="G66" s="25">
        <f>$E$4-SUM($E$9:E66)</f>
        <v>10409977.585844046</v>
      </c>
      <c r="H66" s="467"/>
      <c r="I66" s="33"/>
    </row>
    <row r="67" spans="1:9" ht="13.5">
      <c r="A67" s="33"/>
      <c r="B67" s="469"/>
      <c r="C67" s="18">
        <v>59</v>
      </c>
      <c r="D67" s="27">
        <f t="shared" si="0"/>
        <v>89774.1771777404</v>
      </c>
      <c r="E67" s="17">
        <f t="shared" si="1"/>
        <v>81099.1958562037</v>
      </c>
      <c r="F67" s="17">
        <f t="shared" si="2"/>
        <v>8674.981321536707</v>
      </c>
      <c r="G67" s="25">
        <f>$E$4-SUM($E$9:E67)</f>
        <v>10328878.389987841</v>
      </c>
      <c r="H67" s="467"/>
      <c r="I67" s="33"/>
    </row>
    <row r="68" spans="1:9" ht="14.25" thickBot="1">
      <c r="A68" s="33"/>
      <c r="B68" s="469"/>
      <c r="C68" s="18">
        <v>60</v>
      </c>
      <c r="D68" s="27">
        <f t="shared" si="0"/>
        <v>89774.1771777404</v>
      </c>
      <c r="E68" s="17">
        <f t="shared" si="1"/>
        <v>81166.7785194172</v>
      </c>
      <c r="F68" s="17">
        <f t="shared" si="2"/>
        <v>8607.398658323205</v>
      </c>
      <c r="G68" s="25">
        <f>$E$4-SUM($E$9:E68)</f>
        <v>10247711.611468425</v>
      </c>
      <c r="H68" s="468"/>
      <c r="I68" s="33"/>
    </row>
    <row r="69" spans="1:9" ht="13.5">
      <c r="A69" s="33"/>
      <c r="B69" s="469" t="s">
        <v>136</v>
      </c>
      <c r="C69" s="18">
        <v>61</v>
      </c>
      <c r="D69" s="27">
        <f t="shared" si="0"/>
        <v>89774.1771777404</v>
      </c>
      <c r="E69" s="17">
        <f t="shared" si="1"/>
        <v>81234.41750151671</v>
      </c>
      <c r="F69" s="17">
        <f t="shared" si="2"/>
        <v>8539.75967622369</v>
      </c>
      <c r="G69" s="25">
        <f>$E$4-SUM($E$9:E69)</f>
        <v>10166477.193966908</v>
      </c>
      <c r="H69" s="466">
        <f>+G80</f>
        <v>9268418.274372524</v>
      </c>
      <c r="I69" s="33"/>
    </row>
    <row r="70" spans="1:9" ht="13.5">
      <c r="A70" s="33"/>
      <c r="B70" s="469"/>
      <c r="C70" s="18">
        <v>62</v>
      </c>
      <c r="D70" s="27">
        <f t="shared" si="0"/>
        <v>89774.1771777404</v>
      </c>
      <c r="E70" s="17">
        <f t="shared" si="1"/>
        <v>81302.11284943465</v>
      </c>
      <c r="F70" s="17">
        <f t="shared" si="2"/>
        <v>8472.06432830576</v>
      </c>
      <c r="G70" s="25">
        <f>$E$4-SUM($E$9:E70)</f>
        <v>10085175.081117474</v>
      </c>
      <c r="H70" s="467"/>
      <c r="I70" s="33"/>
    </row>
    <row r="71" spans="1:9" ht="13.5">
      <c r="A71" s="33"/>
      <c r="B71" s="469"/>
      <c r="C71" s="18">
        <v>63</v>
      </c>
      <c r="D71" s="27">
        <f t="shared" si="0"/>
        <v>89774.1771777404</v>
      </c>
      <c r="E71" s="17">
        <f t="shared" si="1"/>
        <v>81369.86461014251</v>
      </c>
      <c r="F71" s="17">
        <f t="shared" si="2"/>
        <v>8404.312567597897</v>
      </c>
      <c r="G71" s="25">
        <f>$E$4-SUM($E$9:E71)</f>
        <v>10003805.21650733</v>
      </c>
      <c r="H71" s="467"/>
      <c r="I71" s="33"/>
    </row>
    <row r="72" spans="1:9" ht="13.5">
      <c r="A72" s="33"/>
      <c r="B72" s="469"/>
      <c r="C72" s="18">
        <v>64</v>
      </c>
      <c r="D72" s="27">
        <f t="shared" si="0"/>
        <v>89774.1771777404</v>
      </c>
      <c r="E72" s="17">
        <f t="shared" si="1"/>
        <v>81437.67283065096</v>
      </c>
      <c r="F72" s="17">
        <f t="shared" si="2"/>
        <v>8336.504347089443</v>
      </c>
      <c r="G72" s="25">
        <f>$E$4-SUM($E$9:E72)</f>
        <v>9922367.543676682</v>
      </c>
      <c r="H72" s="467"/>
      <c r="I72" s="33"/>
    </row>
    <row r="73" spans="1:9" ht="13.5">
      <c r="A73" s="33"/>
      <c r="B73" s="469"/>
      <c r="C73" s="18">
        <v>65</v>
      </c>
      <c r="D73" s="27">
        <f t="shared" si="0"/>
        <v>89774.1771777404</v>
      </c>
      <c r="E73" s="17">
        <f t="shared" si="1"/>
        <v>81505.53755800985</v>
      </c>
      <c r="F73" s="17">
        <f t="shared" si="2"/>
        <v>8268.639619730568</v>
      </c>
      <c r="G73" s="25">
        <f>$E$4-SUM($E$9:E73)</f>
        <v>9840862.00611867</v>
      </c>
      <c r="H73" s="467"/>
      <c r="I73" s="33"/>
    </row>
    <row r="74" spans="1:9" ht="13.5">
      <c r="A74" s="33"/>
      <c r="B74" s="469"/>
      <c r="C74" s="18">
        <v>66</v>
      </c>
      <c r="D74" s="27">
        <f aca="true" t="shared" si="3" ref="D74:D137">$E$7</f>
        <v>89774.1771777404</v>
      </c>
      <c r="E74" s="17">
        <f aca="true" t="shared" si="4" ref="E74:E137">IF($H$4&gt;C74-1,-PPMT($G$4/12,$C74,$H$4,$E$4),0)</f>
        <v>81573.45883930818</v>
      </c>
      <c r="F74" s="17">
        <f aca="true" t="shared" si="5" ref="F74:F137">-IPMT($G$4/12,$C74,$H$4,$E$4)</f>
        <v>8200.718338432227</v>
      </c>
      <c r="G74" s="25">
        <f>$E$4-SUM($E$9:E74)</f>
        <v>9759288.547279362</v>
      </c>
      <c r="H74" s="467"/>
      <c r="I74" s="33"/>
    </row>
    <row r="75" spans="1:9" ht="13.5">
      <c r="A75" s="33"/>
      <c r="B75" s="469"/>
      <c r="C75" s="18">
        <v>67</v>
      </c>
      <c r="D75" s="27">
        <f t="shared" si="3"/>
        <v>89774.1771777404</v>
      </c>
      <c r="E75" s="17">
        <f t="shared" si="4"/>
        <v>81641.43672167425</v>
      </c>
      <c r="F75" s="17">
        <f t="shared" si="5"/>
        <v>8132.740456066137</v>
      </c>
      <c r="G75" s="25">
        <f>$E$4-SUM($E$9:E75)</f>
        <v>9677647.110557688</v>
      </c>
      <c r="H75" s="467"/>
      <c r="I75" s="33"/>
    </row>
    <row r="76" spans="1:9" ht="13.5">
      <c r="A76" s="33"/>
      <c r="B76" s="469"/>
      <c r="C76" s="18">
        <v>68</v>
      </c>
      <c r="D76" s="27">
        <f t="shared" si="3"/>
        <v>89774.1771777404</v>
      </c>
      <c r="E76" s="17">
        <f t="shared" si="4"/>
        <v>81709.47125227566</v>
      </c>
      <c r="F76" s="17">
        <f t="shared" si="5"/>
        <v>8064.705925464741</v>
      </c>
      <c r="G76" s="25">
        <f>$E$4-SUM($E$9:E76)</f>
        <v>9595937.639305413</v>
      </c>
      <c r="H76" s="467"/>
      <c r="I76" s="33"/>
    </row>
    <row r="77" spans="1:9" ht="13.5">
      <c r="A77" s="33"/>
      <c r="B77" s="469"/>
      <c r="C77" s="18">
        <v>69</v>
      </c>
      <c r="D77" s="27">
        <f t="shared" si="3"/>
        <v>89774.1771777404</v>
      </c>
      <c r="E77" s="17">
        <f t="shared" si="4"/>
        <v>81777.56247831923</v>
      </c>
      <c r="F77" s="17">
        <f t="shared" si="5"/>
        <v>7996.614699421178</v>
      </c>
      <c r="G77" s="25">
        <f>$E$4-SUM($E$9:E77)</f>
        <v>9514160.076827094</v>
      </c>
      <c r="H77" s="467"/>
      <c r="I77" s="33"/>
    </row>
    <row r="78" spans="1:9" ht="13.5">
      <c r="A78" s="33"/>
      <c r="B78" s="469"/>
      <c r="C78" s="18">
        <v>70</v>
      </c>
      <c r="D78" s="27">
        <f t="shared" si="3"/>
        <v>89774.1771777404</v>
      </c>
      <c r="E78" s="17">
        <f t="shared" si="4"/>
        <v>81845.71044705115</v>
      </c>
      <c r="F78" s="17">
        <f t="shared" si="5"/>
        <v>7928.466730689245</v>
      </c>
      <c r="G78" s="25">
        <f>$E$4-SUM($E$9:E78)</f>
        <v>9432314.366380043</v>
      </c>
      <c r="H78" s="467"/>
      <c r="I78" s="33"/>
    </row>
    <row r="79" spans="1:9" ht="13.5">
      <c r="A79" s="33"/>
      <c r="B79" s="469"/>
      <c r="C79" s="18">
        <v>71</v>
      </c>
      <c r="D79" s="27">
        <f t="shared" si="3"/>
        <v>89774.1771777404</v>
      </c>
      <c r="E79" s="17">
        <f t="shared" si="4"/>
        <v>81913.91520575705</v>
      </c>
      <c r="F79" s="17">
        <f t="shared" si="5"/>
        <v>7860.261971983368</v>
      </c>
      <c r="G79" s="25">
        <f>$E$4-SUM($E$9:E79)</f>
        <v>9350400.451174285</v>
      </c>
      <c r="H79" s="467"/>
      <c r="I79" s="33"/>
    </row>
    <row r="80" spans="1:9" ht="14.25" thickBot="1">
      <c r="A80" s="33"/>
      <c r="B80" s="469"/>
      <c r="C80" s="18">
        <v>72</v>
      </c>
      <c r="D80" s="27">
        <f t="shared" si="3"/>
        <v>89774.1771777404</v>
      </c>
      <c r="E80" s="17">
        <f t="shared" si="4"/>
        <v>81982.17680176183</v>
      </c>
      <c r="F80" s="17">
        <f t="shared" si="5"/>
        <v>7792.000375978573</v>
      </c>
      <c r="G80" s="25">
        <f>$E$4-SUM($E$9:E80)</f>
        <v>9268418.274372524</v>
      </c>
      <c r="H80" s="468"/>
      <c r="I80" s="33"/>
    </row>
    <row r="81" spans="1:9" ht="13.5">
      <c r="A81" s="33"/>
      <c r="B81" s="469" t="s">
        <v>137</v>
      </c>
      <c r="C81" s="18">
        <v>73</v>
      </c>
      <c r="D81" s="27">
        <f t="shared" si="3"/>
        <v>89774.1771777404</v>
      </c>
      <c r="E81" s="17">
        <f t="shared" si="4"/>
        <v>82050.49528242997</v>
      </c>
      <c r="F81" s="17">
        <f t="shared" si="5"/>
        <v>7723.681895310437</v>
      </c>
      <c r="G81" s="25">
        <f>$E$4-SUM($E$9:E81)</f>
        <v>9186367.779090093</v>
      </c>
      <c r="H81" s="466">
        <f>+G92</f>
        <v>8279286.994715078</v>
      </c>
      <c r="I81" s="33"/>
    </row>
    <row r="82" spans="1:9" ht="13.5">
      <c r="A82" s="33"/>
      <c r="B82" s="469"/>
      <c r="C82" s="18">
        <v>74</v>
      </c>
      <c r="D82" s="27">
        <f t="shared" si="3"/>
        <v>89774.1771777404</v>
      </c>
      <c r="E82" s="17">
        <f t="shared" si="4"/>
        <v>82118.87069516533</v>
      </c>
      <c r="F82" s="17">
        <f t="shared" si="5"/>
        <v>7655.306482575078</v>
      </c>
      <c r="G82" s="25">
        <f>$E$4-SUM($E$9:E82)</f>
        <v>9104248.908394929</v>
      </c>
      <c r="H82" s="467"/>
      <c r="I82" s="33"/>
    </row>
    <row r="83" spans="1:9" ht="13.5">
      <c r="A83" s="33"/>
      <c r="B83" s="469"/>
      <c r="C83" s="18">
        <v>75</v>
      </c>
      <c r="D83" s="27">
        <f t="shared" si="3"/>
        <v>89774.1771777404</v>
      </c>
      <c r="E83" s="17">
        <f t="shared" si="4"/>
        <v>82187.30308741129</v>
      </c>
      <c r="F83" s="17">
        <f t="shared" si="5"/>
        <v>7586.874090329108</v>
      </c>
      <c r="G83" s="25">
        <f>$E$4-SUM($E$9:E83)</f>
        <v>9022061.605307516</v>
      </c>
      <c r="H83" s="467"/>
      <c r="I83" s="33"/>
    </row>
    <row r="84" spans="1:9" ht="13.5">
      <c r="A84" s="33"/>
      <c r="B84" s="469"/>
      <c r="C84" s="18">
        <v>76</v>
      </c>
      <c r="D84" s="27">
        <f t="shared" si="3"/>
        <v>89774.1771777404</v>
      </c>
      <c r="E84" s="17">
        <f t="shared" si="4"/>
        <v>82255.7925066508</v>
      </c>
      <c r="F84" s="17">
        <f t="shared" si="5"/>
        <v>7518.384671089599</v>
      </c>
      <c r="G84" s="25">
        <f>$E$4-SUM($E$9:E84)</f>
        <v>8939805.812800866</v>
      </c>
      <c r="H84" s="467"/>
      <c r="I84" s="33"/>
    </row>
    <row r="85" spans="1:9" ht="13.5">
      <c r="A85" s="33"/>
      <c r="B85" s="469"/>
      <c r="C85" s="18">
        <v>77</v>
      </c>
      <c r="D85" s="27">
        <f t="shared" si="3"/>
        <v>89774.1771777404</v>
      </c>
      <c r="E85" s="17">
        <f t="shared" si="4"/>
        <v>82324.33900040634</v>
      </c>
      <c r="F85" s="17">
        <f t="shared" si="5"/>
        <v>7449.838177334055</v>
      </c>
      <c r="G85" s="25">
        <f>$E$4-SUM($E$9:E85)</f>
        <v>8857481.473800458</v>
      </c>
      <c r="H85" s="467"/>
      <c r="I85" s="33"/>
    </row>
    <row r="86" spans="1:9" ht="13.5">
      <c r="A86" s="33"/>
      <c r="B86" s="469"/>
      <c r="C86" s="18">
        <v>78</v>
      </c>
      <c r="D86" s="27">
        <f t="shared" si="3"/>
        <v>89774.1771777404</v>
      </c>
      <c r="E86" s="17">
        <f t="shared" si="4"/>
        <v>82392.94261624002</v>
      </c>
      <c r="F86" s="17">
        <f t="shared" si="5"/>
        <v>7381.234561500383</v>
      </c>
      <c r="G86" s="25">
        <f>$E$4-SUM($E$9:E86)</f>
        <v>8775088.531184219</v>
      </c>
      <c r="H86" s="467"/>
      <c r="I86" s="33"/>
    </row>
    <row r="87" spans="1:9" ht="13.5">
      <c r="A87" s="33"/>
      <c r="B87" s="469"/>
      <c r="C87" s="18">
        <v>79</v>
      </c>
      <c r="D87" s="27">
        <f t="shared" si="3"/>
        <v>89774.1771777404</v>
      </c>
      <c r="E87" s="17">
        <f t="shared" si="4"/>
        <v>82461.60340175356</v>
      </c>
      <c r="F87" s="17">
        <f t="shared" si="5"/>
        <v>7312.57377598685</v>
      </c>
      <c r="G87" s="25">
        <f>$E$4-SUM($E$9:E87)</f>
        <v>8692626.927782465</v>
      </c>
      <c r="H87" s="467"/>
      <c r="I87" s="33"/>
    </row>
    <row r="88" spans="1:9" ht="13.5">
      <c r="A88" s="33"/>
      <c r="B88" s="469"/>
      <c r="C88" s="18">
        <v>80</v>
      </c>
      <c r="D88" s="27">
        <f t="shared" si="3"/>
        <v>89774.1771777404</v>
      </c>
      <c r="E88" s="17">
        <f t="shared" si="4"/>
        <v>82530.32140458834</v>
      </c>
      <c r="F88" s="17">
        <f t="shared" si="5"/>
        <v>7243.855773152056</v>
      </c>
      <c r="G88" s="25">
        <f>$E$4-SUM($E$9:E88)</f>
        <v>8610096.606377877</v>
      </c>
      <c r="H88" s="467"/>
      <c r="I88" s="33"/>
    </row>
    <row r="89" spans="1:9" ht="13.5">
      <c r="A89" s="33"/>
      <c r="B89" s="469"/>
      <c r="C89" s="18">
        <v>81</v>
      </c>
      <c r="D89" s="27">
        <f t="shared" si="3"/>
        <v>89774.1771777404</v>
      </c>
      <c r="E89" s="17">
        <f t="shared" si="4"/>
        <v>82599.0966724255</v>
      </c>
      <c r="F89" s="17">
        <f t="shared" si="5"/>
        <v>7175.080505314898</v>
      </c>
      <c r="G89" s="25">
        <f>$E$4-SUM($E$9:E89)</f>
        <v>8527497.509705452</v>
      </c>
      <c r="H89" s="467"/>
      <c r="I89" s="33"/>
    </row>
    <row r="90" spans="1:9" ht="13.5">
      <c r="A90" s="33"/>
      <c r="B90" s="469"/>
      <c r="C90" s="18">
        <v>82</v>
      </c>
      <c r="D90" s="27">
        <f t="shared" si="3"/>
        <v>89774.1771777404</v>
      </c>
      <c r="E90" s="17">
        <f t="shared" si="4"/>
        <v>82667.92925298586</v>
      </c>
      <c r="F90" s="17">
        <f t="shared" si="5"/>
        <v>7106.247924754544</v>
      </c>
      <c r="G90" s="25">
        <f>$E$4-SUM($E$9:E90)</f>
        <v>8444829.580452466</v>
      </c>
      <c r="H90" s="467"/>
      <c r="I90" s="33"/>
    </row>
    <row r="91" spans="1:9" ht="13.5">
      <c r="A91" s="33"/>
      <c r="B91" s="469"/>
      <c r="C91" s="18">
        <v>83</v>
      </c>
      <c r="D91" s="27">
        <f t="shared" si="3"/>
        <v>89774.1771777404</v>
      </c>
      <c r="E91" s="17">
        <f t="shared" si="4"/>
        <v>82736.81919403002</v>
      </c>
      <c r="F91" s="17">
        <f t="shared" si="5"/>
        <v>7037.357983710391</v>
      </c>
      <c r="G91" s="25">
        <f>$E$4-SUM($E$9:E91)</f>
        <v>8362092.761258436</v>
      </c>
      <c r="H91" s="467"/>
      <c r="I91" s="33"/>
    </row>
    <row r="92" spans="1:9" ht="14.25" thickBot="1">
      <c r="A92" s="33"/>
      <c r="B92" s="469"/>
      <c r="C92" s="18">
        <v>84</v>
      </c>
      <c r="D92" s="27">
        <f t="shared" si="3"/>
        <v>89774.1771777404</v>
      </c>
      <c r="E92" s="17">
        <f t="shared" si="4"/>
        <v>82805.76654335838</v>
      </c>
      <c r="F92" s="17">
        <f t="shared" si="5"/>
        <v>6968.410634382031</v>
      </c>
      <c r="G92" s="25">
        <f>$E$4-SUM($E$9:E92)</f>
        <v>8279286.994715078</v>
      </c>
      <c r="H92" s="468"/>
      <c r="I92" s="33"/>
    </row>
    <row r="93" spans="1:9" ht="13.5">
      <c r="A93" s="33"/>
      <c r="B93" s="469" t="s">
        <v>138</v>
      </c>
      <c r="C93" s="18">
        <v>85</v>
      </c>
      <c r="D93" s="27">
        <f t="shared" si="3"/>
        <v>89774.1771777404</v>
      </c>
      <c r="E93" s="17">
        <f t="shared" si="4"/>
        <v>82874.77134881118</v>
      </c>
      <c r="F93" s="17">
        <f t="shared" si="5"/>
        <v>6899.405828929232</v>
      </c>
      <c r="G93" s="25">
        <f>$E$4-SUM($E$9:E93)</f>
        <v>8196412.223366267</v>
      </c>
      <c r="H93" s="466">
        <f>+G104</f>
        <v>7280218.940909905</v>
      </c>
      <c r="I93" s="33"/>
    </row>
    <row r="94" spans="1:9" ht="13.5">
      <c r="A94" s="33"/>
      <c r="B94" s="469"/>
      <c r="C94" s="18">
        <v>86</v>
      </c>
      <c r="D94" s="27">
        <f t="shared" si="3"/>
        <v>89774.1771777404</v>
      </c>
      <c r="E94" s="17">
        <f t="shared" si="4"/>
        <v>82943.83365826852</v>
      </c>
      <c r="F94" s="17">
        <f t="shared" si="5"/>
        <v>6830.34351947189</v>
      </c>
      <c r="G94" s="25">
        <f>$E$4-SUM($E$9:E94)</f>
        <v>8113468.389707998</v>
      </c>
      <c r="H94" s="467"/>
      <c r="I94" s="33"/>
    </row>
    <row r="95" spans="1:9" ht="13.5">
      <c r="A95" s="33"/>
      <c r="B95" s="469"/>
      <c r="C95" s="18">
        <v>87</v>
      </c>
      <c r="D95" s="27">
        <f t="shared" si="3"/>
        <v>89774.1771777404</v>
      </c>
      <c r="E95" s="17">
        <f t="shared" si="4"/>
        <v>83012.9535196504</v>
      </c>
      <c r="F95" s="17">
        <f t="shared" si="5"/>
        <v>6761.223658089999</v>
      </c>
      <c r="G95" s="25">
        <f>$E$4-SUM($E$9:E95)</f>
        <v>8030455.436188348</v>
      </c>
      <c r="H95" s="467"/>
      <c r="I95" s="33"/>
    </row>
    <row r="96" spans="1:9" ht="13.5">
      <c r="A96" s="33"/>
      <c r="B96" s="469"/>
      <c r="C96" s="18">
        <v>88</v>
      </c>
      <c r="D96" s="27">
        <f t="shared" si="3"/>
        <v>89774.1771777404</v>
      </c>
      <c r="E96" s="17">
        <f t="shared" si="4"/>
        <v>83082.13098091677</v>
      </c>
      <c r="F96" s="17">
        <f t="shared" si="5"/>
        <v>6692.046196823623</v>
      </c>
      <c r="G96" s="25">
        <f>$E$4-SUM($E$9:E96)</f>
        <v>7947373.305207431</v>
      </c>
      <c r="H96" s="467"/>
      <c r="I96" s="33"/>
    </row>
    <row r="97" spans="1:9" ht="13.5">
      <c r="A97" s="33"/>
      <c r="B97" s="469"/>
      <c r="C97" s="18">
        <v>89</v>
      </c>
      <c r="D97" s="27">
        <f t="shared" si="3"/>
        <v>89774.1771777404</v>
      </c>
      <c r="E97" s="17">
        <f t="shared" si="4"/>
        <v>83151.36609006755</v>
      </c>
      <c r="F97" s="17">
        <f t="shared" si="5"/>
        <v>6622.81108767286</v>
      </c>
      <c r="G97" s="25">
        <f>$E$4-SUM($E$9:E97)</f>
        <v>7864221.939117364</v>
      </c>
      <c r="H97" s="467"/>
      <c r="I97" s="33"/>
    </row>
    <row r="98" spans="1:9" ht="13.5">
      <c r="A98" s="33"/>
      <c r="B98" s="469"/>
      <c r="C98" s="18">
        <v>90</v>
      </c>
      <c r="D98" s="27">
        <f t="shared" si="3"/>
        <v>89774.1771777404</v>
      </c>
      <c r="E98" s="17">
        <f t="shared" si="4"/>
        <v>83220.65889514261</v>
      </c>
      <c r="F98" s="17">
        <f t="shared" si="5"/>
        <v>6553.5182825978045</v>
      </c>
      <c r="G98" s="25">
        <f>$E$4-SUM($E$9:E98)</f>
        <v>7781001.280222221</v>
      </c>
      <c r="H98" s="467"/>
      <c r="I98" s="33"/>
    </row>
    <row r="99" spans="1:9" ht="13.5">
      <c r="A99" s="33"/>
      <c r="B99" s="469"/>
      <c r="C99" s="18">
        <v>91</v>
      </c>
      <c r="D99" s="27">
        <f t="shared" si="3"/>
        <v>89774.1771777404</v>
      </c>
      <c r="E99" s="17">
        <f t="shared" si="4"/>
        <v>83290.00944422188</v>
      </c>
      <c r="F99" s="17">
        <f t="shared" si="5"/>
        <v>6484.167733518518</v>
      </c>
      <c r="G99" s="25">
        <f>$E$4-SUM($E$9:E99)</f>
        <v>7697711.270777999</v>
      </c>
      <c r="H99" s="467"/>
      <c r="I99" s="33"/>
    </row>
    <row r="100" spans="1:9" ht="13.5">
      <c r="A100" s="33"/>
      <c r="B100" s="469"/>
      <c r="C100" s="18">
        <v>92</v>
      </c>
      <c r="D100" s="27">
        <f t="shared" si="3"/>
        <v>89774.1771777404</v>
      </c>
      <c r="E100" s="17">
        <f t="shared" si="4"/>
        <v>83359.41778542541</v>
      </c>
      <c r="F100" s="17">
        <f t="shared" si="5"/>
        <v>6414.759392315</v>
      </c>
      <c r="G100" s="25">
        <f>$E$4-SUM($E$9:E100)</f>
        <v>7614351.852992574</v>
      </c>
      <c r="H100" s="467"/>
      <c r="I100" s="33"/>
    </row>
    <row r="101" spans="1:9" ht="13.5">
      <c r="A101" s="33"/>
      <c r="B101" s="469"/>
      <c r="C101" s="18">
        <v>93</v>
      </c>
      <c r="D101" s="27">
        <f t="shared" si="3"/>
        <v>89774.1771777404</v>
      </c>
      <c r="E101" s="17">
        <f t="shared" si="4"/>
        <v>83428.88396691327</v>
      </c>
      <c r="F101" s="17">
        <f t="shared" si="5"/>
        <v>6345.293210827146</v>
      </c>
      <c r="G101" s="25">
        <f>$E$4-SUM($E$9:E101)</f>
        <v>7530922.96902566</v>
      </c>
      <c r="H101" s="467"/>
      <c r="I101" s="33"/>
    </row>
    <row r="102" spans="1:9" ht="13.5">
      <c r="A102" s="33"/>
      <c r="B102" s="469"/>
      <c r="C102" s="18">
        <v>94</v>
      </c>
      <c r="D102" s="27">
        <f t="shared" si="3"/>
        <v>89774.1771777404</v>
      </c>
      <c r="E102" s="17">
        <f t="shared" si="4"/>
        <v>83498.4080368857</v>
      </c>
      <c r="F102" s="17">
        <f t="shared" si="5"/>
        <v>6275.769140854719</v>
      </c>
      <c r="G102" s="25">
        <f>$E$4-SUM($E$9:E102)</f>
        <v>7447424.5609887745</v>
      </c>
      <c r="H102" s="467"/>
      <c r="I102" s="33"/>
    </row>
    <row r="103" spans="1:9" ht="13.5">
      <c r="A103" s="33"/>
      <c r="B103" s="469"/>
      <c r="C103" s="18">
        <v>95</v>
      </c>
      <c r="D103" s="27">
        <f t="shared" si="3"/>
        <v>89774.1771777404</v>
      </c>
      <c r="E103" s="17">
        <f t="shared" si="4"/>
        <v>83567.99004358308</v>
      </c>
      <c r="F103" s="17">
        <f t="shared" si="5"/>
        <v>6206.187134157313</v>
      </c>
      <c r="G103" s="25">
        <f>$E$4-SUM($E$9:E103)</f>
        <v>7363856.570945191</v>
      </c>
      <c r="H103" s="467"/>
      <c r="I103" s="33"/>
    </row>
    <row r="104" spans="1:9" ht="14.25" thickBot="1">
      <c r="A104" s="33"/>
      <c r="B104" s="469"/>
      <c r="C104" s="18">
        <v>96</v>
      </c>
      <c r="D104" s="27">
        <f t="shared" si="3"/>
        <v>89774.1771777404</v>
      </c>
      <c r="E104" s="17">
        <f t="shared" si="4"/>
        <v>83637.63003528607</v>
      </c>
      <c r="F104" s="17">
        <f t="shared" si="5"/>
        <v>6136.5471424543275</v>
      </c>
      <c r="G104" s="25">
        <f>$E$4-SUM($E$9:E104)</f>
        <v>7280218.940909905</v>
      </c>
      <c r="H104" s="468"/>
      <c r="I104" s="33"/>
    </row>
    <row r="105" spans="1:9" ht="13.5">
      <c r="A105" s="33"/>
      <c r="B105" s="469" t="s">
        <v>139</v>
      </c>
      <c r="C105" s="18">
        <v>97</v>
      </c>
      <c r="D105" s="27">
        <f t="shared" si="3"/>
        <v>89774.1771777404</v>
      </c>
      <c r="E105" s="17">
        <f t="shared" si="4"/>
        <v>83707.32806031549</v>
      </c>
      <c r="F105" s="17">
        <f t="shared" si="5"/>
        <v>6066.849117424923</v>
      </c>
      <c r="G105" s="25">
        <f>$E$4-SUM($E$9:E105)</f>
        <v>7196511.612849589</v>
      </c>
      <c r="H105" s="466">
        <f>+G116</f>
        <v>6271114.2885125745</v>
      </c>
      <c r="I105" s="33"/>
    </row>
    <row r="106" spans="1:9" ht="13.5">
      <c r="A106" s="33"/>
      <c r="B106" s="469"/>
      <c r="C106" s="18">
        <v>98</v>
      </c>
      <c r="D106" s="27">
        <f t="shared" si="3"/>
        <v>89774.1771777404</v>
      </c>
      <c r="E106" s="17">
        <f t="shared" si="4"/>
        <v>83777.08416703242</v>
      </c>
      <c r="F106" s="17">
        <f t="shared" si="5"/>
        <v>5997.093010707992</v>
      </c>
      <c r="G106" s="25">
        <f>$E$4-SUM($E$9:E106)</f>
        <v>7112734.528682557</v>
      </c>
      <c r="H106" s="467"/>
      <c r="I106" s="33"/>
    </row>
    <row r="107" spans="1:9" ht="13.5">
      <c r="A107" s="33"/>
      <c r="B107" s="469"/>
      <c r="C107" s="18">
        <v>99</v>
      </c>
      <c r="D107" s="27">
        <f t="shared" si="3"/>
        <v>89774.1771777404</v>
      </c>
      <c r="E107" s="17">
        <f t="shared" si="4"/>
        <v>83846.89840383828</v>
      </c>
      <c r="F107" s="17">
        <f t="shared" si="5"/>
        <v>5927.278773902132</v>
      </c>
      <c r="G107" s="25">
        <f>$E$4-SUM($E$9:E107)</f>
        <v>7028887.630278719</v>
      </c>
      <c r="H107" s="467"/>
      <c r="I107" s="33"/>
    </row>
    <row r="108" spans="1:9" ht="13.5">
      <c r="A108" s="33"/>
      <c r="B108" s="469"/>
      <c r="C108" s="18">
        <v>100</v>
      </c>
      <c r="D108" s="27">
        <f t="shared" si="3"/>
        <v>89774.1771777404</v>
      </c>
      <c r="E108" s="17">
        <f t="shared" si="4"/>
        <v>83916.7708191748</v>
      </c>
      <c r="F108" s="17">
        <f t="shared" si="5"/>
        <v>5857.4063585656</v>
      </c>
      <c r="G108" s="25">
        <f>$E$4-SUM($E$9:E108)</f>
        <v>6944970.859459544</v>
      </c>
      <c r="H108" s="467"/>
      <c r="I108" s="33"/>
    </row>
    <row r="109" spans="1:9" ht="13.5">
      <c r="A109" s="33"/>
      <c r="B109" s="469"/>
      <c r="C109" s="18">
        <v>101</v>
      </c>
      <c r="D109" s="27">
        <f t="shared" si="3"/>
        <v>89774.1771777404</v>
      </c>
      <c r="E109" s="17">
        <f t="shared" si="4"/>
        <v>83986.70146152412</v>
      </c>
      <c r="F109" s="17">
        <f t="shared" si="5"/>
        <v>5787.475716216289</v>
      </c>
      <c r="G109" s="25">
        <f>$E$4-SUM($E$9:E109)</f>
        <v>6860984.15799802</v>
      </c>
      <c r="H109" s="467"/>
      <c r="I109" s="33"/>
    </row>
    <row r="110" spans="1:9" ht="13.5">
      <c r="A110" s="33"/>
      <c r="B110" s="469"/>
      <c r="C110" s="18">
        <v>102</v>
      </c>
      <c r="D110" s="27">
        <f t="shared" si="3"/>
        <v>89774.1771777404</v>
      </c>
      <c r="E110" s="17">
        <f t="shared" si="4"/>
        <v>84056.69037940871</v>
      </c>
      <c r="F110" s="17">
        <f t="shared" si="5"/>
        <v>5717.486798331684</v>
      </c>
      <c r="G110" s="25">
        <f>$E$4-SUM($E$9:E110)</f>
        <v>6776927.467618611</v>
      </c>
      <c r="H110" s="467"/>
      <c r="I110" s="33"/>
    </row>
    <row r="111" spans="1:9" ht="13.5">
      <c r="A111" s="33"/>
      <c r="B111" s="469"/>
      <c r="C111" s="18">
        <v>103</v>
      </c>
      <c r="D111" s="27">
        <f t="shared" si="3"/>
        <v>89774.1771777404</v>
      </c>
      <c r="E111" s="17">
        <f t="shared" si="4"/>
        <v>84126.73762139156</v>
      </c>
      <c r="F111" s="17">
        <f t="shared" si="5"/>
        <v>5647.439556348842</v>
      </c>
      <c r="G111" s="25">
        <f>$E$4-SUM($E$9:E111)</f>
        <v>6692800.7299972195</v>
      </c>
      <c r="H111" s="467"/>
      <c r="I111" s="33"/>
    </row>
    <row r="112" spans="1:9" ht="13.5">
      <c r="A112" s="33"/>
      <c r="B112" s="469"/>
      <c r="C112" s="18">
        <v>104</v>
      </c>
      <c r="D112" s="27">
        <f t="shared" si="3"/>
        <v>89774.1771777404</v>
      </c>
      <c r="E112" s="17">
        <f t="shared" si="4"/>
        <v>84196.84323607605</v>
      </c>
      <c r="F112" s="17">
        <f t="shared" si="5"/>
        <v>5577.333941664351</v>
      </c>
      <c r="G112" s="25">
        <f>$E$4-SUM($E$9:E112)</f>
        <v>6608603.886761144</v>
      </c>
      <c r="H112" s="467"/>
      <c r="I112" s="33"/>
    </row>
    <row r="113" spans="1:9" ht="13.5">
      <c r="A113" s="33"/>
      <c r="B113" s="469"/>
      <c r="C113" s="18">
        <v>105</v>
      </c>
      <c r="D113" s="27">
        <f t="shared" si="3"/>
        <v>89774.1771777404</v>
      </c>
      <c r="E113" s="17">
        <f t="shared" si="4"/>
        <v>84267.00727210612</v>
      </c>
      <c r="F113" s="17">
        <f t="shared" si="5"/>
        <v>5507.169905634288</v>
      </c>
      <c r="G113" s="25">
        <f>$E$4-SUM($E$9:E113)</f>
        <v>6524336.879489038</v>
      </c>
      <c r="H113" s="467"/>
      <c r="I113" s="33"/>
    </row>
    <row r="114" spans="1:9" ht="13.5">
      <c r="A114" s="33"/>
      <c r="B114" s="469"/>
      <c r="C114" s="18">
        <v>106</v>
      </c>
      <c r="D114" s="27">
        <f t="shared" si="3"/>
        <v>89774.1771777404</v>
      </c>
      <c r="E114" s="17">
        <f t="shared" si="4"/>
        <v>84337.22977816619</v>
      </c>
      <c r="F114" s="17">
        <f t="shared" si="5"/>
        <v>5436.947399574199</v>
      </c>
      <c r="G114" s="25">
        <f>$E$4-SUM($E$9:E114)</f>
        <v>6439999.649710871</v>
      </c>
      <c r="H114" s="467"/>
      <c r="I114" s="33"/>
    </row>
    <row r="115" spans="1:9" ht="13.5">
      <c r="A115" s="33"/>
      <c r="B115" s="469"/>
      <c r="C115" s="18">
        <v>107</v>
      </c>
      <c r="D115" s="27">
        <f t="shared" si="3"/>
        <v>89774.1771777404</v>
      </c>
      <c r="E115" s="17">
        <f t="shared" si="4"/>
        <v>84407.51080298134</v>
      </c>
      <c r="F115" s="17">
        <f t="shared" si="5"/>
        <v>5366.66637475906</v>
      </c>
      <c r="G115" s="25">
        <f>$E$4-SUM($E$9:E115)</f>
        <v>6355592.138907891</v>
      </c>
      <c r="H115" s="467"/>
      <c r="I115" s="33"/>
    </row>
    <row r="116" spans="1:9" ht="14.25" thickBot="1">
      <c r="A116" s="33"/>
      <c r="B116" s="469"/>
      <c r="C116" s="18">
        <v>108</v>
      </c>
      <c r="D116" s="27">
        <f t="shared" si="3"/>
        <v>89774.1771777404</v>
      </c>
      <c r="E116" s="17">
        <f t="shared" si="4"/>
        <v>84477.85039531716</v>
      </c>
      <c r="F116" s="17">
        <f t="shared" si="5"/>
        <v>5296.3267824232435</v>
      </c>
      <c r="G116" s="25">
        <f>$E$4-SUM($E$9:E116)</f>
        <v>6271114.2885125745</v>
      </c>
      <c r="H116" s="468"/>
      <c r="I116" s="33"/>
    </row>
    <row r="117" spans="1:9" ht="13.5">
      <c r="A117" s="33"/>
      <c r="B117" s="469" t="s">
        <v>140</v>
      </c>
      <c r="C117" s="18">
        <v>109</v>
      </c>
      <c r="D117" s="27">
        <f t="shared" si="3"/>
        <v>89774.1771777404</v>
      </c>
      <c r="E117" s="17">
        <f t="shared" si="4"/>
        <v>84548.24860397993</v>
      </c>
      <c r="F117" s="17">
        <f t="shared" si="5"/>
        <v>5225.928573760479</v>
      </c>
      <c r="G117" s="25">
        <f>$E$4-SUM($E$9:E117)</f>
        <v>6186566.039908595</v>
      </c>
      <c r="H117" s="466">
        <f>+G128</f>
        <v>5251872.210246185</v>
      </c>
      <c r="I117" s="33"/>
    </row>
    <row r="118" spans="1:9" ht="13.5">
      <c r="A118" s="33"/>
      <c r="B118" s="469"/>
      <c r="C118" s="18">
        <v>110</v>
      </c>
      <c r="D118" s="27">
        <f t="shared" si="3"/>
        <v>89774.1771777404</v>
      </c>
      <c r="E118" s="17">
        <f t="shared" si="4"/>
        <v>84618.70547781658</v>
      </c>
      <c r="F118" s="17">
        <f t="shared" si="5"/>
        <v>5155.471699923829</v>
      </c>
      <c r="G118" s="25">
        <f>$E$4-SUM($E$9:E118)</f>
        <v>6101947.334430778</v>
      </c>
      <c r="H118" s="467"/>
      <c r="I118" s="33"/>
    </row>
    <row r="119" spans="1:9" ht="13.5">
      <c r="A119" s="33"/>
      <c r="B119" s="469"/>
      <c r="C119" s="18">
        <v>111</v>
      </c>
      <c r="D119" s="27">
        <f t="shared" si="3"/>
        <v>89774.1771777404</v>
      </c>
      <c r="E119" s="17">
        <f t="shared" si="4"/>
        <v>84689.22106571475</v>
      </c>
      <c r="F119" s="17">
        <f t="shared" si="5"/>
        <v>5084.9561120256485</v>
      </c>
      <c r="G119" s="25">
        <f>$E$4-SUM($E$9:E119)</f>
        <v>6017258.113365063</v>
      </c>
      <c r="H119" s="467"/>
      <c r="I119" s="33"/>
    </row>
    <row r="120" spans="1:9" ht="13.5">
      <c r="A120" s="33"/>
      <c r="B120" s="469"/>
      <c r="C120" s="18">
        <v>112</v>
      </c>
      <c r="D120" s="27">
        <f t="shared" si="3"/>
        <v>89774.1771777404</v>
      </c>
      <c r="E120" s="17">
        <f t="shared" si="4"/>
        <v>84759.79541660285</v>
      </c>
      <c r="F120" s="17">
        <f t="shared" si="5"/>
        <v>5014.3817611375525</v>
      </c>
      <c r="G120" s="25">
        <f>$E$4-SUM($E$9:E120)</f>
        <v>5932498.317948461</v>
      </c>
      <c r="H120" s="467"/>
      <c r="I120" s="33"/>
    </row>
    <row r="121" spans="1:9" ht="13.5">
      <c r="A121" s="33"/>
      <c r="B121" s="469"/>
      <c r="C121" s="18">
        <v>113</v>
      </c>
      <c r="D121" s="27">
        <f t="shared" si="3"/>
        <v>89774.1771777404</v>
      </c>
      <c r="E121" s="17">
        <f t="shared" si="4"/>
        <v>84830.42857945002</v>
      </c>
      <c r="F121" s="17">
        <f t="shared" si="5"/>
        <v>4943.748598290384</v>
      </c>
      <c r="G121" s="25">
        <f>$E$4-SUM($E$9:E121)</f>
        <v>5847667.889369011</v>
      </c>
      <c r="H121" s="467"/>
      <c r="I121" s="33"/>
    </row>
    <row r="122" spans="1:9" ht="13.5">
      <c r="A122" s="33"/>
      <c r="B122" s="469"/>
      <c r="C122" s="18">
        <v>114</v>
      </c>
      <c r="D122" s="27">
        <f t="shared" si="3"/>
        <v>89774.1771777404</v>
      </c>
      <c r="E122" s="17">
        <f t="shared" si="4"/>
        <v>84901.12060326623</v>
      </c>
      <c r="F122" s="17">
        <f t="shared" si="5"/>
        <v>4873.056574474174</v>
      </c>
      <c r="G122" s="25">
        <f>$E$4-SUM($E$9:E122)</f>
        <v>5762766.768765744</v>
      </c>
      <c r="H122" s="467"/>
      <c r="I122" s="33"/>
    </row>
    <row r="123" spans="1:9" ht="13.5">
      <c r="A123" s="33"/>
      <c r="B123" s="469"/>
      <c r="C123" s="18">
        <v>115</v>
      </c>
      <c r="D123" s="27">
        <f t="shared" si="3"/>
        <v>89774.1771777404</v>
      </c>
      <c r="E123" s="17">
        <f t="shared" si="4"/>
        <v>84971.87153710228</v>
      </c>
      <c r="F123" s="17">
        <f t="shared" si="5"/>
        <v>4802.30564063812</v>
      </c>
      <c r="G123" s="25">
        <f>$E$4-SUM($E$9:E123)</f>
        <v>5677794.897228641</v>
      </c>
      <c r="H123" s="467"/>
      <c r="I123" s="33"/>
    </row>
    <row r="124" spans="1:9" ht="13.5">
      <c r="A124" s="33"/>
      <c r="B124" s="469"/>
      <c r="C124" s="18">
        <v>116</v>
      </c>
      <c r="D124" s="27">
        <f t="shared" si="3"/>
        <v>89774.1771777404</v>
      </c>
      <c r="E124" s="17">
        <f t="shared" si="4"/>
        <v>85042.68143004987</v>
      </c>
      <c r="F124" s="17">
        <f t="shared" si="5"/>
        <v>4731.495747690535</v>
      </c>
      <c r="G124" s="25">
        <f>$E$4-SUM($E$9:E124)</f>
        <v>5592752.215798592</v>
      </c>
      <c r="H124" s="467"/>
      <c r="I124" s="33"/>
    </row>
    <row r="125" spans="1:9" ht="13.5">
      <c r="A125" s="33"/>
      <c r="B125" s="469"/>
      <c r="C125" s="18">
        <v>117</v>
      </c>
      <c r="D125" s="27">
        <f t="shared" si="3"/>
        <v>89774.1771777404</v>
      </c>
      <c r="E125" s="17">
        <f t="shared" si="4"/>
        <v>85113.55033124158</v>
      </c>
      <c r="F125" s="17">
        <f t="shared" si="5"/>
        <v>4660.626846498827</v>
      </c>
      <c r="G125" s="25">
        <f>$E$4-SUM($E$9:E125)</f>
        <v>5507638.66546735</v>
      </c>
      <c r="H125" s="467"/>
      <c r="I125" s="33"/>
    </row>
    <row r="126" spans="1:9" ht="13.5">
      <c r="A126" s="33"/>
      <c r="B126" s="469"/>
      <c r="C126" s="18">
        <v>118</v>
      </c>
      <c r="D126" s="27">
        <f t="shared" si="3"/>
        <v>89774.1771777404</v>
      </c>
      <c r="E126" s="17">
        <f t="shared" si="4"/>
        <v>85184.47828985094</v>
      </c>
      <c r="F126" s="17">
        <f t="shared" si="5"/>
        <v>4589.698887889458</v>
      </c>
      <c r="G126" s="25">
        <f>$E$4-SUM($E$9:E126)</f>
        <v>5422454.1871775</v>
      </c>
      <c r="H126" s="467"/>
      <c r="I126" s="33"/>
    </row>
    <row r="127" spans="1:9" ht="13.5">
      <c r="A127" s="33"/>
      <c r="B127" s="469"/>
      <c r="C127" s="18">
        <v>119</v>
      </c>
      <c r="D127" s="27">
        <f t="shared" si="3"/>
        <v>89774.1771777404</v>
      </c>
      <c r="E127" s="17">
        <f t="shared" si="4"/>
        <v>85255.46535509248</v>
      </c>
      <c r="F127" s="17">
        <f t="shared" si="5"/>
        <v>4518.711822647916</v>
      </c>
      <c r="G127" s="25">
        <f>$E$4-SUM($E$9:E127)</f>
        <v>5337198.721822407</v>
      </c>
      <c r="H127" s="467"/>
      <c r="I127" s="33"/>
    </row>
    <row r="128" spans="1:9" ht="14.25" thickBot="1">
      <c r="A128" s="33"/>
      <c r="B128" s="469"/>
      <c r="C128" s="18">
        <v>120</v>
      </c>
      <c r="D128" s="27">
        <f t="shared" si="3"/>
        <v>89774.1771777404</v>
      </c>
      <c r="E128" s="17">
        <f t="shared" si="4"/>
        <v>85326.51157622173</v>
      </c>
      <c r="F128" s="17">
        <f t="shared" si="5"/>
        <v>4447.665601518673</v>
      </c>
      <c r="G128" s="25">
        <f>$E$4-SUM($E$9:E128)</f>
        <v>5251872.210246185</v>
      </c>
      <c r="H128" s="468"/>
      <c r="I128" s="33"/>
    </row>
    <row r="129" spans="1:9" ht="13.5">
      <c r="A129" s="33"/>
      <c r="B129" s="469" t="s">
        <v>141</v>
      </c>
      <c r="C129" s="18">
        <v>121</v>
      </c>
      <c r="D129" s="27">
        <f t="shared" si="3"/>
        <v>89774.1771777404</v>
      </c>
      <c r="E129" s="17">
        <f t="shared" si="4"/>
        <v>85397.61700253525</v>
      </c>
      <c r="F129" s="17">
        <f t="shared" si="5"/>
        <v>4376.560175205154</v>
      </c>
      <c r="G129" s="25">
        <f>$E$4-SUM($E$9:E129)</f>
        <v>5166474.593243649</v>
      </c>
      <c r="H129" s="466">
        <f>+G140</f>
        <v>4222390.865926957</v>
      </c>
      <c r="I129" s="33"/>
    </row>
    <row r="130" spans="1:9" ht="13.5">
      <c r="A130" s="33"/>
      <c r="B130" s="469"/>
      <c r="C130" s="18">
        <v>122</v>
      </c>
      <c r="D130" s="27">
        <f t="shared" si="3"/>
        <v>89774.1771777404</v>
      </c>
      <c r="E130" s="17">
        <f t="shared" si="4"/>
        <v>85468.7816833707</v>
      </c>
      <c r="F130" s="17">
        <f t="shared" si="5"/>
        <v>4305.395494369708</v>
      </c>
      <c r="G130" s="25">
        <f>$E$4-SUM($E$9:E130)</f>
        <v>5081005.811560279</v>
      </c>
      <c r="H130" s="467"/>
      <c r="I130" s="33"/>
    </row>
    <row r="131" spans="1:9" ht="13.5">
      <c r="A131" s="33"/>
      <c r="B131" s="469"/>
      <c r="C131" s="18">
        <v>123</v>
      </c>
      <c r="D131" s="27">
        <f t="shared" si="3"/>
        <v>89774.1771777404</v>
      </c>
      <c r="E131" s="17">
        <f t="shared" si="4"/>
        <v>85540.00566810684</v>
      </c>
      <c r="F131" s="17">
        <f t="shared" si="5"/>
        <v>4234.171509633566</v>
      </c>
      <c r="G131" s="25">
        <f>$E$4-SUM($E$9:E131)</f>
        <v>4995465.805892171</v>
      </c>
      <c r="H131" s="467"/>
      <c r="I131" s="33"/>
    </row>
    <row r="132" spans="1:9" ht="13.5">
      <c r="A132" s="33"/>
      <c r="B132" s="469"/>
      <c r="C132" s="18">
        <v>124</v>
      </c>
      <c r="D132" s="27">
        <f t="shared" si="3"/>
        <v>89774.1771777404</v>
      </c>
      <c r="E132" s="17">
        <f t="shared" si="4"/>
        <v>85611.2890061636</v>
      </c>
      <c r="F132" s="17">
        <f t="shared" si="5"/>
        <v>4162.88817157681</v>
      </c>
      <c r="G132" s="25">
        <f>$E$4-SUM($E$9:E132)</f>
        <v>4909854.516886007</v>
      </c>
      <c r="H132" s="467"/>
      <c r="I132" s="33"/>
    </row>
    <row r="133" spans="1:9" ht="13.5">
      <c r="A133" s="33"/>
      <c r="B133" s="469"/>
      <c r="C133" s="18">
        <v>125</v>
      </c>
      <c r="D133" s="27">
        <f t="shared" si="3"/>
        <v>89774.1771777404</v>
      </c>
      <c r="E133" s="17">
        <f t="shared" si="4"/>
        <v>85682.63174700206</v>
      </c>
      <c r="F133" s="17">
        <f t="shared" si="5"/>
        <v>4091.54543073834</v>
      </c>
      <c r="G133" s="25">
        <f>$E$4-SUM($E$9:E133)</f>
        <v>4824171.885139005</v>
      </c>
      <c r="H133" s="467"/>
      <c r="I133" s="33"/>
    </row>
    <row r="134" spans="1:9" ht="13.5">
      <c r="A134" s="33"/>
      <c r="B134" s="469"/>
      <c r="C134" s="18">
        <v>126</v>
      </c>
      <c r="D134" s="27">
        <f t="shared" si="3"/>
        <v>89774.1771777404</v>
      </c>
      <c r="E134" s="17">
        <f t="shared" si="4"/>
        <v>85754.03394012457</v>
      </c>
      <c r="F134" s="17">
        <f t="shared" si="5"/>
        <v>4020.1432376158396</v>
      </c>
      <c r="G134" s="25">
        <f>$E$4-SUM($E$9:E134)</f>
        <v>4738417.85119888</v>
      </c>
      <c r="H134" s="467"/>
      <c r="I134" s="33"/>
    </row>
    <row r="135" spans="1:9" ht="13.5">
      <c r="A135" s="33"/>
      <c r="B135" s="469"/>
      <c r="C135" s="18">
        <v>127</v>
      </c>
      <c r="D135" s="27">
        <f t="shared" si="3"/>
        <v>89774.1771777404</v>
      </c>
      <c r="E135" s="17">
        <f t="shared" si="4"/>
        <v>85825.49563507467</v>
      </c>
      <c r="F135" s="17">
        <f t="shared" si="5"/>
        <v>3948.681542665736</v>
      </c>
      <c r="G135" s="25">
        <f>$E$4-SUM($E$9:E135)</f>
        <v>4652592.3555638045</v>
      </c>
      <c r="H135" s="467"/>
      <c r="I135" s="33"/>
    </row>
    <row r="136" spans="1:9" ht="13.5">
      <c r="A136" s="33"/>
      <c r="B136" s="469"/>
      <c r="C136" s="18">
        <v>128</v>
      </c>
      <c r="D136" s="27">
        <f t="shared" si="3"/>
        <v>89774.1771777404</v>
      </c>
      <c r="E136" s="17">
        <f t="shared" si="4"/>
        <v>85897.01688143723</v>
      </c>
      <c r="F136" s="17">
        <f t="shared" si="5"/>
        <v>3877.160296303173</v>
      </c>
      <c r="G136" s="25">
        <f>$E$4-SUM($E$9:E136)</f>
        <v>4566695.338682367</v>
      </c>
      <c r="H136" s="467"/>
      <c r="I136" s="33"/>
    </row>
    <row r="137" spans="1:9" ht="13.5">
      <c r="A137" s="33"/>
      <c r="B137" s="469"/>
      <c r="C137" s="18">
        <v>129</v>
      </c>
      <c r="D137" s="27">
        <f t="shared" si="3"/>
        <v>89774.1771777404</v>
      </c>
      <c r="E137" s="17">
        <f t="shared" si="4"/>
        <v>85968.59772883843</v>
      </c>
      <c r="F137" s="17">
        <f t="shared" si="5"/>
        <v>3805.5794489019754</v>
      </c>
      <c r="G137" s="25">
        <f>$E$4-SUM($E$9:E137)</f>
        <v>4480726.740953527</v>
      </c>
      <c r="H137" s="467"/>
      <c r="I137" s="33"/>
    </row>
    <row r="138" spans="1:9" ht="13.5">
      <c r="A138" s="33"/>
      <c r="B138" s="469"/>
      <c r="C138" s="18">
        <v>130</v>
      </c>
      <c r="D138" s="27">
        <f aca="true" t="shared" si="6" ref="D138:D201">$E$7</f>
        <v>89774.1771777404</v>
      </c>
      <c r="E138" s="17">
        <f aca="true" t="shared" si="7" ref="E138:E201">IF($H$4&gt;C138-1,-PPMT($G$4/12,$C138,$H$4,$E$4),0)</f>
        <v>86040.2382269458</v>
      </c>
      <c r="F138" s="17">
        <f aca="true" t="shared" si="8" ref="F138:F201">-IPMT($G$4/12,$C138,$H$4,$E$4)</f>
        <v>3733.9389507946103</v>
      </c>
      <c r="G138" s="25">
        <f>$E$4-SUM($E$9:E138)</f>
        <v>4394686.502726581</v>
      </c>
      <c r="H138" s="467"/>
      <c r="I138" s="33"/>
    </row>
    <row r="139" spans="1:9" ht="13.5">
      <c r="A139" s="33"/>
      <c r="B139" s="469"/>
      <c r="C139" s="18">
        <v>131</v>
      </c>
      <c r="D139" s="27">
        <f t="shared" si="6"/>
        <v>89774.1771777404</v>
      </c>
      <c r="E139" s="17">
        <f t="shared" si="7"/>
        <v>86111.93842546825</v>
      </c>
      <c r="F139" s="17">
        <f t="shared" si="8"/>
        <v>3662.238752272155</v>
      </c>
      <c r="G139" s="25">
        <f>$E$4-SUM($E$9:E139)</f>
        <v>4308574.564301113</v>
      </c>
      <c r="H139" s="467"/>
      <c r="I139" s="33"/>
    </row>
    <row r="140" spans="1:9" ht="14.25" thickBot="1">
      <c r="A140" s="33"/>
      <c r="B140" s="469"/>
      <c r="C140" s="18">
        <v>132</v>
      </c>
      <c r="D140" s="27">
        <f t="shared" si="6"/>
        <v>89774.1771777404</v>
      </c>
      <c r="E140" s="17">
        <f t="shared" si="7"/>
        <v>86183.69837415614</v>
      </c>
      <c r="F140" s="17">
        <f t="shared" si="8"/>
        <v>3590.478803584265</v>
      </c>
      <c r="G140" s="25">
        <f>$E$4-SUM($E$9:E140)</f>
        <v>4222390.865926957</v>
      </c>
      <c r="H140" s="468"/>
      <c r="I140" s="33"/>
    </row>
    <row r="141" spans="1:9" ht="13.5">
      <c r="A141" s="33"/>
      <c r="B141" s="469" t="s">
        <v>142</v>
      </c>
      <c r="C141" s="18">
        <v>133</v>
      </c>
      <c r="D141" s="27">
        <f t="shared" si="6"/>
        <v>89774.1771777404</v>
      </c>
      <c r="E141" s="17">
        <f t="shared" si="7"/>
        <v>86255.51812280127</v>
      </c>
      <c r="F141" s="17">
        <f t="shared" si="8"/>
        <v>3518.659054939135</v>
      </c>
      <c r="G141" s="25">
        <f>$E$4-SUM($E$9:E141)</f>
        <v>4136135.347804155</v>
      </c>
      <c r="H141" s="466">
        <f>+G152</f>
        <v>3182567.392288618</v>
      </c>
      <c r="I141" s="33"/>
    </row>
    <row r="142" spans="1:9" ht="13.5">
      <c r="A142" s="33"/>
      <c r="B142" s="469"/>
      <c r="C142" s="18">
        <v>134</v>
      </c>
      <c r="D142" s="27">
        <f t="shared" si="6"/>
        <v>89774.1771777404</v>
      </c>
      <c r="E142" s="17">
        <f t="shared" si="7"/>
        <v>86327.39772123694</v>
      </c>
      <c r="F142" s="17">
        <f t="shared" si="8"/>
        <v>3446.7794565034674</v>
      </c>
      <c r="G142" s="25">
        <f>$E$4-SUM($E$9:E142)</f>
        <v>4049807.9500829186</v>
      </c>
      <c r="H142" s="467"/>
      <c r="I142" s="33"/>
    </row>
    <row r="143" spans="1:9" ht="13.5">
      <c r="A143" s="33"/>
      <c r="B143" s="469"/>
      <c r="C143" s="18">
        <v>135</v>
      </c>
      <c r="D143" s="27">
        <f t="shared" si="6"/>
        <v>89774.1771777404</v>
      </c>
      <c r="E143" s="17">
        <f t="shared" si="7"/>
        <v>86399.33721933796</v>
      </c>
      <c r="F143" s="17">
        <f t="shared" si="8"/>
        <v>3374.8399584024364</v>
      </c>
      <c r="G143" s="25">
        <f>$E$4-SUM($E$9:E143)</f>
        <v>3963408.6128635798</v>
      </c>
      <c r="H143" s="467"/>
      <c r="I143" s="33"/>
    </row>
    <row r="144" spans="1:9" ht="13.5">
      <c r="A144" s="33"/>
      <c r="B144" s="469"/>
      <c r="C144" s="18">
        <v>136</v>
      </c>
      <c r="D144" s="27">
        <f t="shared" si="6"/>
        <v>89774.1771777404</v>
      </c>
      <c r="E144" s="17">
        <f t="shared" si="7"/>
        <v>86471.33666702075</v>
      </c>
      <c r="F144" s="17">
        <f t="shared" si="8"/>
        <v>3302.8405107196545</v>
      </c>
      <c r="G144" s="25">
        <f>$E$4-SUM($E$9:E144)</f>
        <v>3876937.27619656</v>
      </c>
      <c r="H144" s="467"/>
      <c r="I144" s="33"/>
    </row>
    <row r="145" spans="1:9" ht="13.5">
      <c r="A145" s="33"/>
      <c r="B145" s="469"/>
      <c r="C145" s="18">
        <v>137</v>
      </c>
      <c r="D145" s="27">
        <f t="shared" si="6"/>
        <v>89774.1771777404</v>
      </c>
      <c r="E145" s="17">
        <f t="shared" si="7"/>
        <v>86543.39611424328</v>
      </c>
      <c r="F145" s="17">
        <f t="shared" si="8"/>
        <v>3230.7810634971374</v>
      </c>
      <c r="G145" s="25">
        <f>$E$4-SUM($E$9:E145)</f>
        <v>3790393.8800823167</v>
      </c>
      <c r="H145" s="467"/>
      <c r="I145" s="33"/>
    </row>
    <row r="146" spans="1:9" ht="13.5">
      <c r="A146" s="33"/>
      <c r="B146" s="469"/>
      <c r="C146" s="18">
        <v>138</v>
      </c>
      <c r="D146" s="27">
        <f t="shared" si="6"/>
        <v>89774.1771777404</v>
      </c>
      <c r="E146" s="17">
        <f t="shared" si="7"/>
        <v>86615.51561100513</v>
      </c>
      <c r="F146" s="17">
        <f t="shared" si="8"/>
        <v>3158.6615667352685</v>
      </c>
      <c r="G146" s="25">
        <f>$E$4-SUM($E$9:E146)</f>
        <v>3703778.3644713107</v>
      </c>
      <c r="H146" s="467"/>
      <c r="I146" s="33"/>
    </row>
    <row r="147" spans="1:9" ht="13.5">
      <c r="A147" s="33"/>
      <c r="B147" s="469"/>
      <c r="C147" s="18">
        <v>139</v>
      </c>
      <c r="D147" s="27">
        <f t="shared" si="6"/>
        <v>89774.1771777404</v>
      </c>
      <c r="E147" s="17">
        <f t="shared" si="7"/>
        <v>86687.69520734764</v>
      </c>
      <c r="F147" s="17">
        <f t="shared" si="8"/>
        <v>3086.4819703927637</v>
      </c>
      <c r="G147" s="25">
        <f>$E$4-SUM($E$9:E147)</f>
        <v>3617090.6692639627</v>
      </c>
      <c r="H147" s="467"/>
      <c r="I147" s="33"/>
    </row>
    <row r="148" spans="1:9" ht="13.5">
      <c r="A148" s="33"/>
      <c r="B148" s="469"/>
      <c r="C148" s="18">
        <v>140</v>
      </c>
      <c r="D148" s="27">
        <f t="shared" si="6"/>
        <v>89774.1771777404</v>
      </c>
      <c r="E148" s="17">
        <f t="shared" si="7"/>
        <v>86759.93495335376</v>
      </c>
      <c r="F148" s="17">
        <f t="shared" si="8"/>
        <v>3014.2422243866404</v>
      </c>
      <c r="G148" s="25">
        <f>$E$4-SUM($E$9:E148)</f>
        <v>3530330.7343106084</v>
      </c>
      <c r="H148" s="467"/>
      <c r="I148" s="33"/>
    </row>
    <row r="149" spans="1:9" ht="13.5">
      <c r="A149" s="33"/>
      <c r="B149" s="469"/>
      <c r="C149" s="18">
        <v>141</v>
      </c>
      <c r="D149" s="27">
        <f t="shared" si="6"/>
        <v>89774.1771777404</v>
      </c>
      <c r="E149" s="17">
        <f t="shared" si="7"/>
        <v>86832.23489914823</v>
      </c>
      <c r="F149" s="17">
        <f t="shared" si="8"/>
        <v>2941.9422785921793</v>
      </c>
      <c r="G149" s="25">
        <f>$E$4-SUM($E$9:E149)</f>
        <v>3443498.49941146</v>
      </c>
      <c r="H149" s="467"/>
      <c r="I149" s="33"/>
    </row>
    <row r="150" spans="1:9" ht="13.5">
      <c r="A150" s="33"/>
      <c r="B150" s="469"/>
      <c r="C150" s="18">
        <v>142</v>
      </c>
      <c r="D150" s="27">
        <f t="shared" si="6"/>
        <v>89774.1771777404</v>
      </c>
      <c r="E150" s="17">
        <f t="shared" si="7"/>
        <v>86904.59509489752</v>
      </c>
      <c r="F150" s="17">
        <f t="shared" si="8"/>
        <v>2869.582082842889</v>
      </c>
      <c r="G150" s="25">
        <f>$E$4-SUM($E$9:E150)</f>
        <v>3356593.904316563</v>
      </c>
      <c r="H150" s="467"/>
      <c r="I150" s="33"/>
    </row>
    <row r="151" spans="1:9" ht="13.5">
      <c r="A151" s="33"/>
      <c r="B151" s="469"/>
      <c r="C151" s="18">
        <v>143</v>
      </c>
      <c r="D151" s="27">
        <f t="shared" si="6"/>
        <v>89774.1771777404</v>
      </c>
      <c r="E151" s="17">
        <f t="shared" si="7"/>
        <v>86977.01559080993</v>
      </c>
      <c r="F151" s="17">
        <f t="shared" si="8"/>
        <v>2797.161586930474</v>
      </c>
      <c r="G151" s="25">
        <f>$E$4-SUM($E$9:E151)</f>
        <v>3269616.888725754</v>
      </c>
      <c r="H151" s="467"/>
      <c r="I151" s="33"/>
    </row>
    <row r="152" spans="1:9" ht="14.25" thickBot="1">
      <c r="A152" s="33"/>
      <c r="B152" s="469"/>
      <c r="C152" s="18">
        <v>144</v>
      </c>
      <c r="D152" s="27">
        <f t="shared" si="6"/>
        <v>89774.1771777404</v>
      </c>
      <c r="E152" s="17">
        <f t="shared" si="7"/>
        <v>87049.4964371356</v>
      </c>
      <c r="F152" s="17">
        <f t="shared" si="8"/>
        <v>2724.680740604799</v>
      </c>
      <c r="G152" s="25">
        <f>$E$4-SUM($E$9:E152)</f>
        <v>3182567.392288618</v>
      </c>
      <c r="H152" s="468"/>
      <c r="I152" s="33"/>
    </row>
    <row r="153" spans="1:9" ht="13.5">
      <c r="A153" s="33"/>
      <c r="B153" s="469" t="s">
        <v>143</v>
      </c>
      <c r="C153" s="18">
        <v>145</v>
      </c>
      <c r="D153" s="27">
        <f t="shared" si="6"/>
        <v>89774.1771777404</v>
      </c>
      <c r="E153" s="17">
        <f t="shared" si="7"/>
        <v>87122.03768416654</v>
      </c>
      <c r="F153" s="17">
        <f t="shared" si="8"/>
        <v>2652.1394935738535</v>
      </c>
      <c r="G153" s="25">
        <f>$E$4-SUM($E$9:E153)</f>
        <v>3095445.354604451</v>
      </c>
      <c r="H153" s="466">
        <f>+G164</f>
        <v>2132297.8927045334</v>
      </c>
      <c r="I153" s="33"/>
    </row>
    <row r="154" spans="1:9" ht="13.5">
      <c r="A154" s="33"/>
      <c r="B154" s="469"/>
      <c r="C154" s="18">
        <v>146</v>
      </c>
      <c r="D154" s="27">
        <f t="shared" si="6"/>
        <v>89774.1771777404</v>
      </c>
      <c r="E154" s="17">
        <f t="shared" si="7"/>
        <v>87194.6393822367</v>
      </c>
      <c r="F154" s="17">
        <f t="shared" si="8"/>
        <v>2579.5377955037143</v>
      </c>
      <c r="G154" s="25">
        <f>$E$4-SUM($E$9:E154)</f>
        <v>3008250.7152222134</v>
      </c>
      <c r="H154" s="467"/>
      <c r="I154" s="33"/>
    </row>
    <row r="155" spans="1:9" ht="13.5">
      <c r="A155" s="33"/>
      <c r="B155" s="469"/>
      <c r="C155" s="18">
        <v>147</v>
      </c>
      <c r="D155" s="27">
        <f t="shared" si="6"/>
        <v>89774.1771777404</v>
      </c>
      <c r="E155" s="17">
        <f t="shared" si="7"/>
        <v>87267.30158172188</v>
      </c>
      <c r="F155" s="17">
        <f t="shared" si="8"/>
        <v>2506.875596018517</v>
      </c>
      <c r="G155" s="25">
        <f>$E$4-SUM($E$9:E155)</f>
        <v>2920983.4136404917</v>
      </c>
      <c r="H155" s="467"/>
      <c r="I155" s="33"/>
    </row>
    <row r="156" spans="1:9" ht="13.5">
      <c r="A156" s="33"/>
      <c r="B156" s="469"/>
      <c r="C156" s="18">
        <v>148</v>
      </c>
      <c r="D156" s="27">
        <f t="shared" si="6"/>
        <v>89774.1771777404</v>
      </c>
      <c r="E156" s="17">
        <f t="shared" si="7"/>
        <v>87340.02433303998</v>
      </c>
      <c r="F156" s="17">
        <f t="shared" si="8"/>
        <v>2434.152844700416</v>
      </c>
      <c r="G156" s="25">
        <f>$E$4-SUM($E$9:E156)</f>
        <v>2833643.3893074524</v>
      </c>
      <c r="H156" s="467"/>
      <c r="I156" s="33"/>
    </row>
    <row r="157" spans="1:9" ht="13.5">
      <c r="A157" s="33"/>
      <c r="B157" s="469"/>
      <c r="C157" s="18">
        <v>149</v>
      </c>
      <c r="D157" s="27">
        <f t="shared" si="6"/>
        <v>89774.1771777404</v>
      </c>
      <c r="E157" s="17">
        <f t="shared" si="7"/>
        <v>87412.80768665086</v>
      </c>
      <c r="F157" s="17">
        <f t="shared" si="8"/>
        <v>2361.3694910895492</v>
      </c>
      <c r="G157" s="25">
        <f>$E$4-SUM($E$9:E157)</f>
        <v>2746230.5816208012</v>
      </c>
      <c r="H157" s="467"/>
      <c r="I157" s="33"/>
    </row>
    <row r="158" spans="1:9" ht="13.5">
      <c r="A158" s="33"/>
      <c r="B158" s="469"/>
      <c r="C158" s="18">
        <v>150</v>
      </c>
      <c r="D158" s="27">
        <f t="shared" si="6"/>
        <v>89774.1771777404</v>
      </c>
      <c r="E158" s="17">
        <f t="shared" si="7"/>
        <v>87485.6516930564</v>
      </c>
      <c r="F158" s="17">
        <f t="shared" si="8"/>
        <v>2288.5254846840066</v>
      </c>
      <c r="G158" s="25">
        <f>$E$4-SUM($E$9:E158)</f>
        <v>2658744.929927744</v>
      </c>
      <c r="H158" s="467"/>
      <c r="I158" s="33"/>
    </row>
    <row r="159" spans="1:9" ht="13.5">
      <c r="A159" s="33"/>
      <c r="B159" s="469"/>
      <c r="C159" s="18">
        <v>151</v>
      </c>
      <c r="D159" s="27">
        <f t="shared" si="6"/>
        <v>89774.1771777404</v>
      </c>
      <c r="E159" s="17">
        <f t="shared" si="7"/>
        <v>87558.5564028006</v>
      </c>
      <c r="F159" s="17">
        <f t="shared" si="8"/>
        <v>2215.620774939793</v>
      </c>
      <c r="G159" s="25">
        <f>$E$4-SUM($E$9:E159)</f>
        <v>2571186.3735249434</v>
      </c>
      <c r="H159" s="467"/>
      <c r="I159" s="33"/>
    </row>
    <row r="160" spans="1:9" ht="13.5">
      <c r="A160" s="33"/>
      <c r="B160" s="469"/>
      <c r="C160" s="18">
        <v>152</v>
      </c>
      <c r="D160" s="27">
        <f t="shared" si="6"/>
        <v>89774.1771777404</v>
      </c>
      <c r="E160" s="17">
        <f t="shared" si="7"/>
        <v>87631.52186646961</v>
      </c>
      <c r="F160" s="17">
        <f t="shared" si="8"/>
        <v>2142.6553112707925</v>
      </c>
      <c r="G160" s="25">
        <f>$E$4-SUM($E$9:E160)</f>
        <v>2483554.8516584747</v>
      </c>
      <c r="H160" s="467"/>
      <c r="I160" s="33"/>
    </row>
    <row r="161" spans="1:9" ht="13.5">
      <c r="A161" s="33"/>
      <c r="B161" s="469"/>
      <c r="C161" s="18">
        <v>153</v>
      </c>
      <c r="D161" s="27">
        <f t="shared" si="6"/>
        <v>89774.1771777404</v>
      </c>
      <c r="E161" s="17">
        <f t="shared" si="7"/>
        <v>87704.54813469166</v>
      </c>
      <c r="F161" s="17">
        <f t="shared" si="8"/>
        <v>2069.629043048734</v>
      </c>
      <c r="G161" s="25">
        <f>$E$4-SUM($E$9:E161)</f>
        <v>2395850.3035237826</v>
      </c>
      <c r="H161" s="467"/>
      <c r="I161" s="33"/>
    </row>
    <row r="162" spans="1:9" ht="13.5">
      <c r="A162" s="33"/>
      <c r="B162" s="469"/>
      <c r="C162" s="18">
        <v>154</v>
      </c>
      <c r="D162" s="27">
        <f t="shared" si="6"/>
        <v>89774.1771777404</v>
      </c>
      <c r="E162" s="17">
        <f t="shared" si="7"/>
        <v>87777.63525813725</v>
      </c>
      <c r="F162" s="17">
        <f t="shared" si="8"/>
        <v>1996.5419196031578</v>
      </c>
      <c r="G162" s="25">
        <f>$E$4-SUM($E$9:E162)</f>
        <v>2308072.6682656445</v>
      </c>
      <c r="H162" s="467"/>
      <c r="I162" s="33"/>
    </row>
    <row r="163" spans="1:9" ht="13.5">
      <c r="A163" s="33"/>
      <c r="B163" s="469"/>
      <c r="C163" s="18">
        <v>155</v>
      </c>
      <c r="D163" s="27">
        <f t="shared" si="6"/>
        <v>89774.1771777404</v>
      </c>
      <c r="E163" s="17">
        <f t="shared" si="7"/>
        <v>87850.78328751902</v>
      </c>
      <c r="F163" s="17">
        <f t="shared" si="8"/>
        <v>1923.3938902213772</v>
      </c>
      <c r="G163" s="25">
        <f>$E$4-SUM($E$9:E163)</f>
        <v>2220221.884978125</v>
      </c>
      <c r="H163" s="467"/>
      <c r="I163" s="33"/>
    </row>
    <row r="164" spans="1:9" ht="14.25" thickBot="1">
      <c r="A164" s="33"/>
      <c r="B164" s="469"/>
      <c r="C164" s="18">
        <v>156</v>
      </c>
      <c r="D164" s="27">
        <f t="shared" si="6"/>
        <v>89774.1771777404</v>
      </c>
      <c r="E164" s="17">
        <f t="shared" si="7"/>
        <v>87923.99227359197</v>
      </c>
      <c r="F164" s="17">
        <f t="shared" si="8"/>
        <v>1850.1849041484445</v>
      </c>
      <c r="G164" s="25">
        <f>$E$4-SUM($E$9:E164)</f>
        <v>2132297.8927045334</v>
      </c>
      <c r="H164" s="468"/>
      <c r="I164" s="33"/>
    </row>
    <row r="165" spans="1:9" ht="13.5">
      <c r="A165" s="33"/>
      <c r="B165" s="469" t="s">
        <v>144</v>
      </c>
      <c r="C165" s="18">
        <v>157</v>
      </c>
      <c r="D165" s="27">
        <f t="shared" si="6"/>
        <v>89774.1771777404</v>
      </c>
      <c r="E165" s="17">
        <f t="shared" si="7"/>
        <v>87997.26226715329</v>
      </c>
      <c r="F165" s="17">
        <f t="shared" si="8"/>
        <v>1776.914910587118</v>
      </c>
      <c r="G165" s="25">
        <f>$E$4-SUM($E$9:E165)</f>
        <v>2044300.6304373797</v>
      </c>
      <c r="H165" s="466">
        <f>+G176</f>
        <v>1071477.4268066287</v>
      </c>
      <c r="I165" s="33"/>
    </row>
    <row r="166" spans="1:9" ht="13.5">
      <c r="A166" s="33"/>
      <c r="B166" s="469"/>
      <c r="C166" s="18">
        <v>158</v>
      </c>
      <c r="D166" s="27">
        <f t="shared" si="6"/>
        <v>89774.1771777404</v>
      </c>
      <c r="E166" s="17">
        <f t="shared" si="7"/>
        <v>88070.59331904259</v>
      </c>
      <c r="F166" s="17">
        <f t="shared" si="8"/>
        <v>1703.5838586978234</v>
      </c>
      <c r="G166" s="25">
        <f>$E$4-SUM($E$9:E166)</f>
        <v>1956230.037118338</v>
      </c>
      <c r="H166" s="467"/>
      <c r="I166" s="33"/>
    </row>
    <row r="167" spans="1:9" ht="13.5">
      <c r="A167" s="33"/>
      <c r="B167" s="469"/>
      <c r="C167" s="18">
        <v>159</v>
      </c>
      <c r="D167" s="27">
        <f t="shared" si="6"/>
        <v>89774.1771777404</v>
      </c>
      <c r="E167" s="17">
        <f t="shared" si="7"/>
        <v>88143.98548014178</v>
      </c>
      <c r="F167" s="17">
        <f t="shared" si="8"/>
        <v>1630.1916975986212</v>
      </c>
      <c r="G167" s="25">
        <f>$E$4-SUM($E$9:E167)</f>
        <v>1868086.0516381972</v>
      </c>
      <c r="H167" s="467"/>
      <c r="I167" s="33"/>
    </row>
    <row r="168" spans="1:9" ht="13.5">
      <c r="A168" s="33"/>
      <c r="B168" s="469"/>
      <c r="C168" s="18">
        <v>160</v>
      </c>
      <c r="D168" s="27">
        <f t="shared" si="6"/>
        <v>89774.1771777404</v>
      </c>
      <c r="E168" s="17">
        <f t="shared" si="7"/>
        <v>88217.43880137523</v>
      </c>
      <c r="F168" s="17">
        <f t="shared" si="8"/>
        <v>1556.7383763651699</v>
      </c>
      <c r="G168" s="25">
        <f>$E$4-SUM($E$9:E168)</f>
        <v>1779868.612836821</v>
      </c>
      <c r="H168" s="467"/>
      <c r="I168" s="33"/>
    </row>
    <row r="169" spans="1:9" ht="13.5">
      <c r="A169" s="33"/>
      <c r="B169" s="469"/>
      <c r="C169" s="18">
        <v>161</v>
      </c>
      <c r="D169" s="27">
        <f t="shared" si="6"/>
        <v>89774.1771777404</v>
      </c>
      <c r="E169" s="17">
        <f t="shared" si="7"/>
        <v>88290.95333370972</v>
      </c>
      <c r="F169" s="17">
        <f t="shared" si="8"/>
        <v>1483.2238440306905</v>
      </c>
      <c r="G169" s="25">
        <f>$E$4-SUM($E$9:E169)</f>
        <v>1691577.6595031116</v>
      </c>
      <c r="H169" s="467"/>
      <c r="I169" s="33"/>
    </row>
    <row r="170" spans="1:9" ht="13.5">
      <c r="A170" s="33"/>
      <c r="B170" s="469"/>
      <c r="C170" s="18">
        <v>162</v>
      </c>
      <c r="D170" s="27">
        <f t="shared" si="6"/>
        <v>89774.1771777404</v>
      </c>
      <c r="E170" s="17">
        <f t="shared" si="7"/>
        <v>88364.52912815448</v>
      </c>
      <c r="F170" s="17">
        <f t="shared" si="8"/>
        <v>1409.6480495859323</v>
      </c>
      <c r="G170" s="25">
        <f>$E$4-SUM($E$9:E170)</f>
        <v>1603213.1303749569</v>
      </c>
      <c r="H170" s="467"/>
      <c r="I170" s="33"/>
    </row>
    <row r="171" spans="1:9" ht="13.5">
      <c r="A171" s="33"/>
      <c r="B171" s="469"/>
      <c r="C171" s="18">
        <v>163</v>
      </c>
      <c r="D171" s="27">
        <f t="shared" si="6"/>
        <v>89774.1771777404</v>
      </c>
      <c r="E171" s="17">
        <f t="shared" si="7"/>
        <v>88438.16623576127</v>
      </c>
      <c r="F171" s="17">
        <f t="shared" si="8"/>
        <v>1336.010941979137</v>
      </c>
      <c r="G171" s="25">
        <f>$E$4-SUM($E$9:E171)</f>
        <v>1514774.9641391952</v>
      </c>
      <c r="H171" s="467"/>
      <c r="I171" s="33"/>
    </row>
    <row r="172" spans="1:9" ht="13.5">
      <c r="A172" s="33"/>
      <c r="B172" s="469"/>
      <c r="C172" s="18">
        <v>164</v>
      </c>
      <c r="D172" s="27">
        <f t="shared" si="6"/>
        <v>89774.1771777404</v>
      </c>
      <c r="E172" s="17">
        <f t="shared" si="7"/>
        <v>88511.8647076244</v>
      </c>
      <c r="F172" s="17">
        <f t="shared" si="8"/>
        <v>1262.3124701160025</v>
      </c>
      <c r="G172" s="25">
        <f>$E$4-SUM($E$9:E172)</f>
        <v>1426263.0994315706</v>
      </c>
      <c r="H172" s="467"/>
      <c r="I172" s="33"/>
    </row>
    <row r="173" spans="1:9" ht="13.5">
      <c r="A173" s="33"/>
      <c r="B173" s="469"/>
      <c r="C173" s="18">
        <v>165</v>
      </c>
      <c r="D173" s="27">
        <f t="shared" si="6"/>
        <v>89774.1771777404</v>
      </c>
      <c r="E173" s="17">
        <f t="shared" si="7"/>
        <v>88585.62459488076</v>
      </c>
      <c r="F173" s="17">
        <f t="shared" si="8"/>
        <v>1188.552582859649</v>
      </c>
      <c r="G173" s="25">
        <f>$E$4-SUM($E$9:E173)</f>
        <v>1337677.4748366904</v>
      </c>
      <c r="H173" s="467"/>
      <c r="I173" s="33"/>
    </row>
    <row r="174" spans="1:9" ht="13.5">
      <c r="A174" s="33"/>
      <c r="B174" s="469"/>
      <c r="C174" s="18">
        <v>166</v>
      </c>
      <c r="D174" s="27">
        <f t="shared" si="6"/>
        <v>89774.1771777404</v>
      </c>
      <c r="E174" s="17">
        <f t="shared" si="7"/>
        <v>88659.44594870982</v>
      </c>
      <c r="F174" s="17">
        <f t="shared" si="8"/>
        <v>1114.7312290305815</v>
      </c>
      <c r="G174" s="25">
        <f>$E$4-SUM($E$9:E174)</f>
        <v>1249018.0288879797</v>
      </c>
      <c r="H174" s="467"/>
      <c r="I174" s="33"/>
    </row>
    <row r="175" spans="1:9" ht="13.5">
      <c r="A175" s="33"/>
      <c r="B175" s="469"/>
      <c r="C175" s="18">
        <v>167</v>
      </c>
      <c r="D175" s="27">
        <f t="shared" si="6"/>
        <v>89774.1771777404</v>
      </c>
      <c r="E175" s="17">
        <f t="shared" si="7"/>
        <v>88733.32882033374</v>
      </c>
      <c r="F175" s="17">
        <f t="shared" si="8"/>
        <v>1040.8483574066568</v>
      </c>
      <c r="G175" s="25">
        <f>$E$4-SUM($E$9:E175)</f>
        <v>1160284.7000676468</v>
      </c>
      <c r="H175" s="467"/>
      <c r="I175" s="33"/>
    </row>
    <row r="176" spans="1:9" ht="14.25" thickBot="1">
      <c r="A176" s="33"/>
      <c r="B176" s="469"/>
      <c r="C176" s="18">
        <v>168</v>
      </c>
      <c r="D176" s="27">
        <f t="shared" si="6"/>
        <v>89774.1771777404</v>
      </c>
      <c r="E176" s="17">
        <f t="shared" si="7"/>
        <v>88807.27326101736</v>
      </c>
      <c r="F176" s="17">
        <f t="shared" si="8"/>
        <v>966.9039167230451</v>
      </c>
      <c r="G176" s="25">
        <f>$E$4-SUM($E$9:E176)</f>
        <v>1071477.4268066287</v>
      </c>
      <c r="H176" s="468"/>
      <c r="I176" s="33"/>
    </row>
    <row r="177" spans="1:9" ht="13.5">
      <c r="A177" s="33"/>
      <c r="B177" s="469" t="s">
        <v>145</v>
      </c>
      <c r="C177" s="18">
        <v>169</v>
      </c>
      <c r="D177" s="27">
        <f t="shared" si="6"/>
        <v>89774.1771777404</v>
      </c>
      <c r="E177" s="17">
        <f t="shared" si="7"/>
        <v>88881.2793220682</v>
      </c>
      <c r="F177" s="17">
        <f t="shared" si="8"/>
        <v>892.8978556721975</v>
      </c>
      <c r="G177" s="25">
        <f>$E$4-SUM($E$9:E177)</f>
        <v>982596.1474845596</v>
      </c>
      <c r="H177" s="466">
        <f>+G188</f>
        <v>0</v>
      </c>
      <c r="I177" s="33"/>
    </row>
    <row r="178" spans="1:9" ht="13.5">
      <c r="A178" s="33"/>
      <c r="B178" s="469"/>
      <c r="C178" s="18">
        <v>170</v>
      </c>
      <c r="D178" s="27">
        <f t="shared" si="6"/>
        <v>89774.1771777404</v>
      </c>
      <c r="E178" s="17">
        <f t="shared" si="7"/>
        <v>88955.34705483659</v>
      </c>
      <c r="F178" s="17">
        <f t="shared" si="8"/>
        <v>818.8301229038071</v>
      </c>
      <c r="G178" s="25">
        <f>$E$4-SUM($E$9:E178)</f>
        <v>893640.8004297223</v>
      </c>
      <c r="H178" s="467"/>
      <c r="I178" s="33"/>
    </row>
    <row r="179" spans="1:9" ht="13.5">
      <c r="A179" s="33"/>
      <c r="B179" s="469"/>
      <c r="C179" s="18">
        <v>171</v>
      </c>
      <c r="D179" s="27">
        <f t="shared" si="6"/>
        <v>89774.1771777404</v>
      </c>
      <c r="E179" s="17">
        <f t="shared" si="7"/>
        <v>89029.47651071563</v>
      </c>
      <c r="F179" s="17">
        <f t="shared" si="8"/>
        <v>744.7006670247767</v>
      </c>
      <c r="G179" s="25">
        <f>$E$4-SUM($E$9:E179)</f>
        <v>804611.3239190076</v>
      </c>
      <c r="H179" s="467"/>
      <c r="I179" s="33"/>
    </row>
    <row r="180" spans="1:9" ht="13.5">
      <c r="A180" s="33"/>
      <c r="B180" s="469"/>
      <c r="C180" s="18">
        <v>172</v>
      </c>
      <c r="D180" s="27">
        <f t="shared" si="6"/>
        <v>89774.1771777404</v>
      </c>
      <c r="E180" s="17">
        <f t="shared" si="7"/>
        <v>89103.66774114122</v>
      </c>
      <c r="F180" s="17">
        <f t="shared" si="8"/>
        <v>670.5094365991805</v>
      </c>
      <c r="G180" s="25">
        <f>$E$4-SUM($E$9:E180)</f>
        <v>715507.6561778672</v>
      </c>
      <c r="H180" s="467"/>
      <c r="I180" s="33"/>
    </row>
    <row r="181" spans="1:9" ht="13.5">
      <c r="A181" s="33"/>
      <c r="B181" s="469"/>
      <c r="C181" s="18">
        <v>173</v>
      </c>
      <c r="D181" s="27">
        <f t="shared" si="6"/>
        <v>89774.1771777404</v>
      </c>
      <c r="E181" s="17">
        <f t="shared" si="7"/>
        <v>89177.92079759217</v>
      </c>
      <c r="F181" s="17">
        <f t="shared" si="8"/>
        <v>596.2563801482294</v>
      </c>
      <c r="G181" s="25">
        <f>$E$4-SUM($E$9:E181)</f>
        <v>626329.7353802752</v>
      </c>
      <c r="H181" s="467"/>
      <c r="I181" s="33"/>
    </row>
    <row r="182" spans="1:9" ht="13.5">
      <c r="A182" s="33"/>
      <c r="B182" s="469"/>
      <c r="C182" s="18">
        <v>174</v>
      </c>
      <c r="D182" s="27">
        <f t="shared" si="6"/>
        <v>89774.1771777404</v>
      </c>
      <c r="E182" s="17">
        <f t="shared" si="7"/>
        <v>89252.23573159016</v>
      </c>
      <c r="F182" s="17">
        <f t="shared" si="8"/>
        <v>521.9414461502358</v>
      </c>
      <c r="G182" s="25">
        <f>$E$4-SUM($E$9:E182)</f>
        <v>537077.4996486846</v>
      </c>
      <c r="H182" s="467"/>
      <c r="I182" s="33"/>
    </row>
    <row r="183" spans="1:9" ht="13.5">
      <c r="A183" s="33"/>
      <c r="B183" s="469"/>
      <c r="C183" s="18">
        <v>175</v>
      </c>
      <c r="D183" s="27">
        <f t="shared" si="6"/>
        <v>89774.1771777404</v>
      </c>
      <c r="E183" s="17">
        <f t="shared" si="7"/>
        <v>89326.61259469982</v>
      </c>
      <c r="F183" s="17">
        <f t="shared" si="8"/>
        <v>447.5645830405775</v>
      </c>
      <c r="G183" s="25">
        <f>$E$4-SUM($E$9:E183)</f>
        <v>447750.88705398515</v>
      </c>
      <c r="H183" s="467"/>
      <c r="I183" s="33"/>
    </row>
    <row r="184" spans="1:9" ht="13.5">
      <c r="A184" s="33"/>
      <c r="B184" s="469"/>
      <c r="C184" s="18">
        <v>176</v>
      </c>
      <c r="D184" s="27">
        <f t="shared" si="6"/>
        <v>89774.1771777404</v>
      </c>
      <c r="E184" s="17">
        <f t="shared" si="7"/>
        <v>89401.05143852874</v>
      </c>
      <c r="F184" s="17">
        <f t="shared" si="8"/>
        <v>373.12573921166097</v>
      </c>
      <c r="G184" s="25">
        <f>$E$4-SUM($E$9:E184)</f>
        <v>358349.8356154561</v>
      </c>
      <c r="H184" s="467"/>
      <c r="I184" s="33"/>
    </row>
    <row r="185" spans="1:9" ht="13.5">
      <c r="A185" s="33"/>
      <c r="B185" s="469"/>
      <c r="C185" s="18">
        <v>177</v>
      </c>
      <c r="D185" s="27">
        <f t="shared" si="6"/>
        <v>89774.1771777404</v>
      </c>
      <c r="E185" s="17">
        <f t="shared" si="7"/>
        <v>89475.55231472752</v>
      </c>
      <c r="F185" s="17">
        <f t="shared" si="8"/>
        <v>298.624863012887</v>
      </c>
      <c r="G185" s="25">
        <f>$E$4-SUM($E$9:E185)</f>
        <v>268874.28330072947</v>
      </c>
      <c r="H185" s="467"/>
      <c r="I185" s="33"/>
    </row>
    <row r="186" spans="1:9" ht="13.5">
      <c r="A186" s="33"/>
      <c r="B186" s="469"/>
      <c r="C186" s="18">
        <v>178</v>
      </c>
      <c r="D186" s="27">
        <f t="shared" si="6"/>
        <v>89774.1771777404</v>
      </c>
      <c r="E186" s="17">
        <f t="shared" si="7"/>
        <v>89550.11527498979</v>
      </c>
      <c r="F186" s="17">
        <f t="shared" si="8"/>
        <v>224.0619027506141</v>
      </c>
      <c r="G186" s="25">
        <f>$E$4-SUM($E$9:E186)</f>
        <v>179324.1680257395</v>
      </c>
      <c r="H186" s="467"/>
      <c r="I186" s="33"/>
    </row>
    <row r="187" spans="1:9" ht="13.5">
      <c r="A187" s="33"/>
      <c r="B187" s="469"/>
      <c r="C187" s="18">
        <v>179</v>
      </c>
      <c r="D187" s="27">
        <f t="shared" si="6"/>
        <v>89774.1771777404</v>
      </c>
      <c r="E187" s="17">
        <f t="shared" si="7"/>
        <v>89624.74037105228</v>
      </c>
      <c r="F187" s="17">
        <f t="shared" si="8"/>
        <v>149.43680668812257</v>
      </c>
      <c r="G187" s="25">
        <f>$E$4-SUM($E$9:E187)</f>
        <v>89699.42765468732</v>
      </c>
      <c r="H187" s="467"/>
      <c r="I187" s="33"/>
    </row>
    <row r="188" spans="1:9" ht="14.25" thickBot="1">
      <c r="A188" s="33"/>
      <c r="B188" s="469"/>
      <c r="C188" s="18">
        <v>180</v>
      </c>
      <c r="D188" s="27">
        <f t="shared" si="6"/>
        <v>89774.1771777404</v>
      </c>
      <c r="E188" s="17">
        <f t="shared" si="7"/>
        <v>89699.42765469482</v>
      </c>
      <c r="F188" s="17">
        <f t="shared" si="8"/>
        <v>74.74952304557901</v>
      </c>
      <c r="G188" s="25">
        <f>$E$4-SUM($E$9:E188)</f>
        <v>0</v>
      </c>
      <c r="H188" s="468"/>
      <c r="I188" s="33"/>
    </row>
    <row r="189" spans="1:9" ht="13.5">
      <c r="A189" s="33"/>
      <c r="B189" s="469" t="s">
        <v>146</v>
      </c>
      <c r="C189" s="18">
        <v>181</v>
      </c>
      <c r="D189" s="27">
        <f t="shared" si="6"/>
        <v>89774.1771777404</v>
      </c>
      <c r="E189" s="17">
        <f t="shared" si="7"/>
        <v>0</v>
      </c>
      <c r="F189" s="17" t="e">
        <f t="shared" si="8"/>
        <v>#NUM!</v>
      </c>
      <c r="G189" s="25">
        <f>$E$4-SUM($E$9:E189)</f>
        <v>0</v>
      </c>
      <c r="H189" s="466">
        <f>+G200</f>
        <v>0</v>
      </c>
      <c r="I189" s="33"/>
    </row>
    <row r="190" spans="1:9" ht="13.5">
      <c r="A190" s="33"/>
      <c r="B190" s="469"/>
      <c r="C190" s="18">
        <v>182</v>
      </c>
      <c r="D190" s="27">
        <f t="shared" si="6"/>
        <v>89774.1771777404</v>
      </c>
      <c r="E190" s="17">
        <f t="shared" si="7"/>
        <v>0</v>
      </c>
      <c r="F190" s="17" t="e">
        <f t="shared" si="8"/>
        <v>#NUM!</v>
      </c>
      <c r="G190" s="25">
        <f>$E$4-SUM($E$9:E190)</f>
        <v>0</v>
      </c>
      <c r="H190" s="467"/>
      <c r="I190" s="33"/>
    </row>
    <row r="191" spans="1:9" ht="13.5">
      <c r="A191" s="33"/>
      <c r="B191" s="469"/>
      <c r="C191" s="18">
        <v>183</v>
      </c>
      <c r="D191" s="27">
        <f t="shared" si="6"/>
        <v>89774.1771777404</v>
      </c>
      <c r="E191" s="17">
        <f t="shared" si="7"/>
        <v>0</v>
      </c>
      <c r="F191" s="17" t="e">
        <f t="shared" si="8"/>
        <v>#NUM!</v>
      </c>
      <c r="G191" s="25">
        <f>$E$4-SUM($E$9:E191)</f>
        <v>0</v>
      </c>
      <c r="H191" s="467"/>
      <c r="I191" s="33"/>
    </row>
    <row r="192" spans="1:9" ht="13.5">
      <c r="A192" s="33"/>
      <c r="B192" s="469"/>
      <c r="C192" s="18">
        <v>184</v>
      </c>
      <c r="D192" s="27">
        <f t="shared" si="6"/>
        <v>89774.1771777404</v>
      </c>
      <c r="E192" s="17">
        <f t="shared" si="7"/>
        <v>0</v>
      </c>
      <c r="F192" s="17" t="e">
        <f t="shared" si="8"/>
        <v>#NUM!</v>
      </c>
      <c r="G192" s="25">
        <f>$E$4-SUM($E$9:E192)</f>
        <v>0</v>
      </c>
      <c r="H192" s="467"/>
      <c r="I192" s="33"/>
    </row>
    <row r="193" spans="1:9" ht="13.5">
      <c r="A193" s="33"/>
      <c r="B193" s="469"/>
      <c r="C193" s="18">
        <v>185</v>
      </c>
      <c r="D193" s="27">
        <f t="shared" si="6"/>
        <v>89774.1771777404</v>
      </c>
      <c r="E193" s="17">
        <f t="shared" si="7"/>
        <v>0</v>
      </c>
      <c r="F193" s="17" t="e">
        <f t="shared" si="8"/>
        <v>#NUM!</v>
      </c>
      <c r="G193" s="25">
        <f>$E$4-SUM($E$9:E193)</f>
        <v>0</v>
      </c>
      <c r="H193" s="467"/>
      <c r="I193" s="33"/>
    </row>
    <row r="194" spans="1:9" ht="13.5">
      <c r="A194" s="33"/>
      <c r="B194" s="469"/>
      <c r="C194" s="18">
        <v>186</v>
      </c>
      <c r="D194" s="27">
        <f t="shared" si="6"/>
        <v>89774.1771777404</v>
      </c>
      <c r="E194" s="17">
        <f t="shared" si="7"/>
        <v>0</v>
      </c>
      <c r="F194" s="17" t="e">
        <f t="shared" si="8"/>
        <v>#NUM!</v>
      </c>
      <c r="G194" s="25">
        <f>$E$4-SUM($E$9:E194)</f>
        <v>0</v>
      </c>
      <c r="H194" s="467"/>
      <c r="I194" s="33"/>
    </row>
    <row r="195" spans="1:9" ht="13.5">
      <c r="A195" s="33"/>
      <c r="B195" s="469"/>
      <c r="C195" s="18">
        <v>187</v>
      </c>
      <c r="D195" s="27">
        <f t="shared" si="6"/>
        <v>89774.1771777404</v>
      </c>
      <c r="E195" s="17">
        <f t="shared" si="7"/>
        <v>0</v>
      </c>
      <c r="F195" s="17" t="e">
        <f t="shared" si="8"/>
        <v>#NUM!</v>
      </c>
      <c r="G195" s="25">
        <f>$E$4-SUM($E$9:E195)</f>
        <v>0</v>
      </c>
      <c r="H195" s="467"/>
      <c r="I195" s="33"/>
    </row>
    <row r="196" spans="1:9" ht="13.5">
      <c r="A196" s="33"/>
      <c r="B196" s="469"/>
      <c r="C196" s="18">
        <v>188</v>
      </c>
      <c r="D196" s="27">
        <f t="shared" si="6"/>
        <v>89774.1771777404</v>
      </c>
      <c r="E196" s="17">
        <f t="shared" si="7"/>
        <v>0</v>
      </c>
      <c r="F196" s="17" t="e">
        <f t="shared" si="8"/>
        <v>#NUM!</v>
      </c>
      <c r="G196" s="25">
        <f>$E$4-SUM($E$9:E196)</f>
        <v>0</v>
      </c>
      <c r="H196" s="467"/>
      <c r="I196" s="33"/>
    </row>
    <row r="197" spans="1:9" ht="13.5">
      <c r="A197" s="33"/>
      <c r="B197" s="469"/>
      <c r="C197" s="18">
        <v>189</v>
      </c>
      <c r="D197" s="27">
        <f t="shared" si="6"/>
        <v>89774.1771777404</v>
      </c>
      <c r="E197" s="17">
        <f t="shared" si="7"/>
        <v>0</v>
      </c>
      <c r="F197" s="17" t="e">
        <f t="shared" si="8"/>
        <v>#NUM!</v>
      </c>
      <c r="G197" s="25">
        <f>$E$4-SUM($E$9:E197)</f>
        <v>0</v>
      </c>
      <c r="H197" s="467"/>
      <c r="I197" s="33"/>
    </row>
    <row r="198" spans="1:9" ht="13.5">
      <c r="A198" s="33"/>
      <c r="B198" s="469"/>
      <c r="C198" s="18">
        <v>190</v>
      </c>
      <c r="D198" s="27">
        <f t="shared" si="6"/>
        <v>89774.1771777404</v>
      </c>
      <c r="E198" s="17">
        <f t="shared" si="7"/>
        <v>0</v>
      </c>
      <c r="F198" s="17" t="e">
        <f t="shared" si="8"/>
        <v>#NUM!</v>
      </c>
      <c r="G198" s="25">
        <f>$E$4-SUM($E$9:E198)</f>
        <v>0</v>
      </c>
      <c r="H198" s="467"/>
      <c r="I198" s="33"/>
    </row>
    <row r="199" spans="1:9" ht="13.5">
      <c r="A199" s="33"/>
      <c r="B199" s="469"/>
      <c r="C199" s="18">
        <v>191</v>
      </c>
      <c r="D199" s="27">
        <f t="shared" si="6"/>
        <v>89774.1771777404</v>
      </c>
      <c r="E199" s="17">
        <f t="shared" si="7"/>
        <v>0</v>
      </c>
      <c r="F199" s="17" t="e">
        <f t="shared" si="8"/>
        <v>#NUM!</v>
      </c>
      <c r="G199" s="25">
        <f>$E$4-SUM($E$9:E199)</f>
        <v>0</v>
      </c>
      <c r="H199" s="467"/>
      <c r="I199" s="33"/>
    </row>
    <row r="200" spans="1:9" ht="14.25" thickBot="1">
      <c r="A200" s="33"/>
      <c r="B200" s="469"/>
      <c r="C200" s="18">
        <v>192</v>
      </c>
      <c r="D200" s="27">
        <f t="shared" si="6"/>
        <v>89774.1771777404</v>
      </c>
      <c r="E200" s="17">
        <f t="shared" si="7"/>
        <v>0</v>
      </c>
      <c r="F200" s="17" t="e">
        <f t="shared" si="8"/>
        <v>#NUM!</v>
      </c>
      <c r="G200" s="25">
        <f>$E$4-SUM($E$9:E200)</f>
        <v>0</v>
      </c>
      <c r="H200" s="468"/>
      <c r="I200" s="33"/>
    </row>
    <row r="201" spans="1:9" ht="13.5">
      <c r="A201" s="33"/>
      <c r="B201" s="469" t="s">
        <v>147</v>
      </c>
      <c r="C201" s="18">
        <v>193</v>
      </c>
      <c r="D201" s="27">
        <f t="shared" si="6"/>
        <v>89774.1771777404</v>
      </c>
      <c r="E201" s="17">
        <f t="shared" si="7"/>
        <v>0</v>
      </c>
      <c r="F201" s="17" t="e">
        <f t="shared" si="8"/>
        <v>#NUM!</v>
      </c>
      <c r="G201" s="25">
        <f>$E$4-SUM($E$9:E201)</f>
        <v>0</v>
      </c>
      <c r="H201" s="466">
        <f>+G212</f>
        <v>0</v>
      </c>
      <c r="I201" s="33"/>
    </row>
    <row r="202" spans="1:9" ht="13.5">
      <c r="A202" s="33"/>
      <c r="B202" s="469"/>
      <c r="C202" s="18">
        <v>194</v>
      </c>
      <c r="D202" s="27">
        <f aca="true" t="shared" si="9" ref="D202:D265">$E$7</f>
        <v>89774.1771777404</v>
      </c>
      <c r="E202" s="17">
        <f aca="true" t="shared" si="10" ref="E202:E265">IF($H$4&gt;C202-1,-PPMT($G$4/12,$C202,$H$4,$E$4),0)</f>
        <v>0</v>
      </c>
      <c r="F202" s="17" t="e">
        <f aca="true" t="shared" si="11" ref="F202:F265">-IPMT($G$4/12,$C202,$H$4,$E$4)</f>
        <v>#NUM!</v>
      </c>
      <c r="G202" s="25">
        <f>$E$4-SUM($E$9:E202)</f>
        <v>0</v>
      </c>
      <c r="H202" s="467"/>
      <c r="I202" s="33"/>
    </row>
    <row r="203" spans="1:9" ht="13.5">
      <c r="A203" s="33"/>
      <c r="B203" s="469"/>
      <c r="C203" s="18">
        <v>195</v>
      </c>
      <c r="D203" s="27">
        <f t="shared" si="9"/>
        <v>89774.1771777404</v>
      </c>
      <c r="E203" s="17">
        <f t="shared" si="10"/>
        <v>0</v>
      </c>
      <c r="F203" s="17" t="e">
        <f t="shared" si="11"/>
        <v>#NUM!</v>
      </c>
      <c r="G203" s="25">
        <f>$E$4-SUM($E$9:E203)</f>
        <v>0</v>
      </c>
      <c r="H203" s="467"/>
      <c r="I203" s="33"/>
    </row>
    <row r="204" spans="1:9" ht="13.5">
      <c r="A204" s="33"/>
      <c r="B204" s="469"/>
      <c r="C204" s="18">
        <v>196</v>
      </c>
      <c r="D204" s="27">
        <f t="shared" si="9"/>
        <v>89774.1771777404</v>
      </c>
      <c r="E204" s="17">
        <f t="shared" si="10"/>
        <v>0</v>
      </c>
      <c r="F204" s="17" t="e">
        <f t="shared" si="11"/>
        <v>#NUM!</v>
      </c>
      <c r="G204" s="25">
        <f>$E$4-SUM($E$9:E204)</f>
        <v>0</v>
      </c>
      <c r="H204" s="467"/>
      <c r="I204" s="33"/>
    </row>
    <row r="205" spans="1:9" ht="13.5">
      <c r="A205" s="33"/>
      <c r="B205" s="469"/>
      <c r="C205" s="18">
        <v>197</v>
      </c>
      <c r="D205" s="27">
        <f t="shared" si="9"/>
        <v>89774.1771777404</v>
      </c>
      <c r="E205" s="17">
        <f t="shared" si="10"/>
        <v>0</v>
      </c>
      <c r="F205" s="17" t="e">
        <f t="shared" si="11"/>
        <v>#NUM!</v>
      </c>
      <c r="G205" s="25">
        <f>$E$4-SUM($E$9:E205)</f>
        <v>0</v>
      </c>
      <c r="H205" s="467"/>
      <c r="I205" s="33"/>
    </row>
    <row r="206" spans="1:9" ht="13.5">
      <c r="A206" s="33"/>
      <c r="B206" s="469"/>
      <c r="C206" s="18">
        <v>198</v>
      </c>
      <c r="D206" s="27">
        <f t="shared" si="9"/>
        <v>89774.1771777404</v>
      </c>
      <c r="E206" s="17">
        <f t="shared" si="10"/>
        <v>0</v>
      </c>
      <c r="F206" s="17" t="e">
        <f t="shared" si="11"/>
        <v>#NUM!</v>
      </c>
      <c r="G206" s="25">
        <f>$E$4-SUM($E$9:E206)</f>
        <v>0</v>
      </c>
      <c r="H206" s="467"/>
      <c r="I206" s="33"/>
    </row>
    <row r="207" spans="1:9" ht="13.5">
      <c r="A207" s="33"/>
      <c r="B207" s="469"/>
      <c r="C207" s="18">
        <v>199</v>
      </c>
      <c r="D207" s="27">
        <f t="shared" si="9"/>
        <v>89774.1771777404</v>
      </c>
      <c r="E207" s="17">
        <f t="shared" si="10"/>
        <v>0</v>
      </c>
      <c r="F207" s="17" t="e">
        <f t="shared" si="11"/>
        <v>#NUM!</v>
      </c>
      <c r="G207" s="25">
        <f>$E$4-SUM($E$9:E207)</f>
        <v>0</v>
      </c>
      <c r="H207" s="467"/>
      <c r="I207" s="33"/>
    </row>
    <row r="208" spans="1:9" ht="13.5">
      <c r="A208" s="33"/>
      <c r="B208" s="469"/>
      <c r="C208" s="18">
        <v>200</v>
      </c>
      <c r="D208" s="27">
        <f t="shared" si="9"/>
        <v>89774.1771777404</v>
      </c>
      <c r="E208" s="17">
        <f t="shared" si="10"/>
        <v>0</v>
      </c>
      <c r="F208" s="17" t="e">
        <f t="shared" si="11"/>
        <v>#NUM!</v>
      </c>
      <c r="G208" s="25">
        <f>$E$4-SUM($E$9:E208)</f>
        <v>0</v>
      </c>
      <c r="H208" s="467"/>
      <c r="I208" s="33"/>
    </row>
    <row r="209" spans="1:9" ht="13.5">
      <c r="A209" s="33"/>
      <c r="B209" s="469"/>
      <c r="C209" s="18">
        <v>201</v>
      </c>
      <c r="D209" s="27">
        <f t="shared" si="9"/>
        <v>89774.1771777404</v>
      </c>
      <c r="E209" s="17">
        <f t="shared" si="10"/>
        <v>0</v>
      </c>
      <c r="F209" s="17" t="e">
        <f t="shared" si="11"/>
        <v>#NUM!</v>
      </c>
      <c r="G209" s="25">
        <f>$E$4-SUM($E$9:E209)</f>
        <v>0</v>
      </c>
      <c r="H209" s="467"/>
      <c r="I209" s="33"/>
    </row>
    <row r="210" spans="1:9" ht="13.5">
      <c r="A210" s="33"/>
      <c r="B210" s="469"/>
      <c r="C210" s="18">
        <v>202</v>
      </c>
      <c r="D210" s="27">
        <f t="shared" si="9"/>
        <v>89774.1771777404</v>
      </c>
      <c r="E210" s="17">
        <f t="shared" si="10"/>
        <v>0</v>
      </c>
      <c r="F210" s="17" t="e">
        <f t="shared" si="11"/>
        <v>#NUM!</v>
      </c>
      <c r="G210" s="25">
        <f>$E$4-SUM($E$9:E210)</f>
        <v>0</v>
      </c>
      <c r="H210" s="467"/>
      <c r="I210" s="33"/>
    </row>
    <row r="211" spans="1:9" ht="13.5">
      <c r="A211" s="33"/>
      <c r="B211" s="469"/>
      <c r="C211" s="18">
        <v>203</v>
      </c>
      <c r="D211" s="27">
        <f t="shared" si="9"/>
        <v>89774.1771777404</v>
      </c>
      <c r="E211" s="17">
        <f t="shared" si="10"/>
        <v>0</v>
      </c>
      <c r="F211" s="17" t="e">
        <f t="shared" si="11"/>
        <v>#NUM!</v>
      </c>
      <c r="G211" s="25">
        <f>$E$4-SUM($E$9:E211)</f>
        <v>0</v>
      </c>
      <c r="H211" s="467"/>
      <c r="I211" s="33"/>
    </row>
    <row r="212" spans="1:9" ht="14.25" thickBot="1">
      <c r="A212" s="33"/>
      <c r="B212" s="469"/>
      <c r="C212" s="18">
        <v>204</v>
      </c>
      <c r="D212" s="27">
        <f t="shared" si="9"/>
        <v>89774.1771777404</v>
      </c>
      <c r="E212" s="17">
        <f t="shared" si="10"/>
        <v>0</v>
      </c>
      <c r="F212" s="17" t="e">
        <f t="shared" si="11"/>
        <v>#NUM!</v>
      </c>
      <c r="G212" s="25">
        <f>$E$4-SUM($E$9:E212)</f>
        <v>0</v>
      </c>
      <c r="H212" s="468"/>
      <c r="I212" s="33"/>
    </row>
    <row r="213" spans="1:9" ht="13.5">
      <c r="A213" s="33"/>
      <c r="B213" s="469" t="s">
        <v>148</v>
      </c>
      <c r="C213" s="18">
        <v>205</v>
      </c>
      <c r="D213" s="27">
        <f t="shared" si="9"/>
        <v>89774.1771777404</v>
      </c>
      <c r="E213" s="17">
        <f t="shared" si="10"/>
        <v>0</v>
      </c>
      <c r="F213" s="17" t="e">
        <f t="shared" si="11"/>
        <v>#NUM!</v>
      </c>
      <c r="G213" s="25">
        <f>$E$4-SUM($E$9:E213)</f>
        <v>0</v>
      </c>
      <c r="H213" s="466">
        <f>+G224</f>
        <v>0</v>
      </c>
      <c r="I213" s="33"/>
    </row>
    <row r="214" spans="1:9" ht="13.5">
      <c r="A214" s="33"/>
      <c r="B214" s="469"/>
      <c r="C214" s="18">
        <v>206</v>
      </c>
      <c r="D214" s="27">
        <f t="shared" si="9"/>
        <v>89774.1771777404</v>
      </c>
      <c r="E214" s="17">
        <f t="shared" si="10"/>
        <v>0</v>
      </c>
      <c r="F214" s="17" t="e">
        <f t="shared" si="11"/>
        <v>#NUM!</v>
      </c>
      <c r="G214" s="25">
        <f>$E$4-SUM($E$9:E214)</f>
        <v>0</v>
      </c>
      <c r="H214" s="467"/>
      <c r="I214" s="33"/>
    </row>
    <row r="215" spans="1:9" ht="13.5">
      <c r="A215" s="33"/>
      <c r="B215" s="469"/>
      <c r="C215" s="18">
        <v>207</v>
      </c>
      <c r="D215" s="27">
        <f t="shared" si="9"/>
        <v>89774.1771777404</v>
      </c>
      <c r="E215" s="17">
        <f t="shared" si="10"/>
        <v>0</v>
      </c>
      <c r="F215" s="17" t="e">
        <f t="shared" si="11"/>
        <v>#NUM!</v>
      </c>
      <c r="G215" s="25">
        <f>$E$4-SUM($E$9:E215)</f>
        <v>0</v>
      </c>
      <c r="H215" s="467"/>
      <c r="I215" s="33"/>
    </row>
    <row r="216" spans="1:9" ht="13.5">
      <c r="A216" s="33"/>
      <c r="B216" s="469"/>
      <c r="C216" s="18">
        <v>208</v>
      </c>
      <c r="D216" s="27">
        <f t="shared" si="9"/>
        <v>89774.1771777404</v>
      </c>
      <c r="E216" s="17">
        <f t="shared" si="10"/>
        <v>0</v>
      </c>
      <c r="F216" s="17" t="e">
        <f t="shared" si="11"/>
        <v>#NUM!</v>
      </c>
      <c r="G216" s="25">
        <f>$E$4-SUM($E$9:E216)</f>
        <v>0</v>
      </c>
      <c r="H216" s="467"/>
      <c r="I216" s="33"/>
    </row>
    <row r="217" spans="1:9" ht="13.5">
      <c r="A217" s="33"/>
      <c r="B217" s="469"/>
      <c r="C217" s="18">
        <v>209</v>
      </c>
      <c r="D217" s="27">
        <f t="shared" si="9"/>
        <v>89774.1771777404</v>
      </c>
      <c r="E217" s="17">
        <f t="shared" si="10"/>
        <v>0</v>
      </c>
      <c r="F217" s="17" t="e">
        <f t="shared" si="11"/>
        <v>#NUM!</v>
      </c>
      <c r="G217" s="25">
        <f>$E$4-SUM($E$9:E217)</f>
        <v>0</v>
      </c>
      <c r="H217" s="467"/>
      <c r="I217" s="33"/>
    </row>
    <row r="218" spans="1:9" ht="13.5">
      <c r="A218" s="33"/>
      <c r="B218" s="469"/>
      <c r="C218" s="18">
        <v>210</v>
      </c>
      <c r="D218" s="27">
        <f t="shared" si="9"/>
        <v>89774.1771777404</v>
      </c>
      <c r="E218" s="17">
        <f t="shared" si="10"/>
        <v>0</v>
      </c>
      <c r="F218" s="17" t="e">
        <f t="shared" si="11"/>
        <v>#NUM!</v>
      </c>
      <c r="G218" s="25">
        <f>$E$4-SUM($E$9:E218)</f>
        <v>0</v>
      </c>
      <c r="H218" s="467"/>
      <c r="I218" s="33"/>
    </row>
    <row r="219" spans="1:9" ht="13.5">
      <c r="A219" s="33"/>
      <c r="B219" s="469"/>
      <c r="C219" s="18">
        <v>211</v>
      </c>
      <c r="D219" s="27">
        <f t="shared" si="9"/>
        <v>89774.1771777404</v>
      </c>
      <c r="E219" s="17">
        <f t="shared" si="10"/>
        <v>0</v>
      </c>
      <c r="F219" s="17" t="e">
        <f t="shared" si="11"/>
        <v>#NUM!</v>
      </c>
      <c r="G219" s="25">
        <f>$E$4-SUM($E$9:E219)</f>
        <v>0</v>
      </c>
      <c r="H219" s="467"/>
      <c r="I219" s="33"/>
    </row>
    <row r="220" spans="1:9" ht="13.5">
      <c r="A220" s="33"/>
      <c r="B220" s="469"/>
      <c r="C220" s="18">
        <v>212</v>
      </c>
      <c r="D220" s="27">
        <f t="shared" si="9"/>
        <v>89774.1771777404</v>
      </c>
      <c r="E220" s="17">
        <f t="shared" si="10"/>
        <v>0</v>
      </c>
      <c r="F220" s="17" t="e">
        <f t="shared" si="11"/>
        <v>#NUM!</v>
      </c>
      <c r="G220" s="25">
        <f>$E$4-SUM($E$9:E220)</f>
        <v>0</v>
      </c>
      <c r="H220" s="467"/>
      <c r="I220" s="33"/>
    </row>
    <row r="221" spans="1:9" ht="13.5">
      <c r="A221" s="33"/>
      <c r="B221" s="469"/>
      <c r="C221" s="18">
        <v>213</v>
      </c>
      <c r="D221" s="27">
        <f t="shared" si="9"/>
        <v>89774.1771777404</v>
      </c>
      <c r="E221" s="17">
        <f t="shared" si="10"/>
        <v>0</v>
      </c>
      <c r="F221" s="17" t="e">
        <f t="shared" si="11"/>
        <v>#NUM!</v>
      </c>
      <c r="G221" s="25">
        <f>$E$4-SUM($E$9:E221)</f>
        <v>0</v>
      </c>
      <c r="H221" s="467"/>
      <c r="I221" s="33"/>
    </row>
    <row r="222" spans="1:9" ht="13.5">
      <c r="A222" s="33"/>
      <c r="B222" s="469"/>
      <c r="C222" s="18">
        <v>214</v>
      </c>
      <c r="D222" s="27">
        <f t="shared" si="9"/>
        <v>89774.1771777404</v>
      </c>
      <c r="E222" s="17">
        <f t="shared" si="10"/>
        <v>0</v>
      </c>
      <c r="F222" s="17" t="e">
        <f t="shared" si="11"/>
        <v>#NUM!</v>
      </c>
      <c r="G222" s="25">
        <f>$E$4-SUM($E$9:E222)</f>
        <v>0</v>
      </c>
      <c r="H222" s="467"/>
      <c r="I222" s="33"/>
    </row>
    <row r="223" spans="1:9" ht="13.5">
      <c r="A223" s="33"/>
      <c r="B223" s="469"/>
      <c r="C223" s="18">
        <v>215</v>
      </c>
      <c r="D223" s="27">
        <f t="shared" si="9"/>
        <v>89774.1771777404</v>
      </c>
      <c r="E223" s="17">
        <f t="shared" si="10"/>
        <v>0</v>
      </c>
      <c r="F223" s="17" t="e">
        <f t="shared" si="11"/>
        <v>#NUM!</v>
      </c>
      <c r="G223" s="25">
        <f>$E$4-SUM($E$9:E223)</f>
        <v>0</v>
      </c>
      <c r="H223" s="467"/>
      <c r="I223" s="33"/>
    </row>
    <row r="224" spans="1:9" ht="14.25" thickBot="1">
      <c r="A224" s="33"/>
      <c r="B224" s="469"/>
      <c r="C224" s="18">
        <v>216</v>
      </c>
      <c r="D224" s="27">
        <f t="shared" si="9"/>
        <v>89774.1771777404</v>
      </c>
      <c r="E224" s="17">
        <f t="shared" si="10"/>
        <v>0</v>
      </c>
      <c r="F224" s="17" t="e">
        <f t="shared" si="11"/>
        <v>#NUM!</v>
      </c>
      <c r="G224" s="25">
        <f>$E$4-SUM($E$9:E224)</f>
        <v>0</v>
      </c>
      <c r="H224" s="468"/>
      <c r="I224" s="33"/>
    </row>
    <row r="225" spans="1:9" ht="13.5">
      <c r="A225" s="33"/>
      <c r="B225" s="469" t="s">
        <v>149</v>
      </c>
      <c r="C225" s="18">
        <v>217</v>
      </c>
      <c r="D225" s="27">
        <f t="shared" si="9"/>
        <v>89774.1771777404</v>
      </c>
      <c r="E225" s="17">
        <f t="shared" si="10"/>
        <v>0</v>
      </c>
      <c r="F225" s="17" t="e">
        <f t="shared" si="11"/>
        <v>#NUM!</v>
      </c>
      <c r="G225" s="25">
        <f>$E$4-SUM($E$9:E225)</f>
        <v>0</v>
      </c>
      <c r="H225" s="466">
        <f>+G236</f>
        <v>0</v>
      </c>
      <c r="I225" s="33"/>
    </row>
    <row r="226" spans="1:9" ht="13.5">
      <c r="A226" s="33"/>
      <c r="B226" s="469"/>
      <c r="C226" s="18">
        <v>218</v>
      </c>
      <c r="D226" s="27">
        <f t="shared" si="9"/>
        <v>89774.1771777404</v>
      </c>
      <c r="E226" s="17">
        <f t="shared" si="10"/>
        <v>0</v>
      </c>
      <c r="F226" s="17" t="e">
        <f t="shared" si="11"/>
        <v>#NUM!</v>
      </c>
      <c r="G226" s="25">
        <f>$E$4-SUM($E$9:E226)</f>
        <v>0</v>
      </c>
      <c r="H226" s="467"/>
      <c r="I226" s="33"/>
    </row>
    <row r="227" spans="1:9" ht="13.5">
      <c r="A227" s="33"/>
      <c r="B227" s="469"/>
      <c r="C227" s="18">
        <v>219</v>
      </c>
      <c r="D227" s="27">
        <f t="shared" si="9"/>
        <v>89774.1771777404</v>
      </c>
      <c r="E227" s="17">
        <f t="shared" si="10"/>
        <v>0</v>
      </c>
      <c r="F227" s="17" t="e">
        <f t="shared" si="11"/>
        <v>#NUM!</v>
      </c>
      <c r="G227" s="25">
        <f>$E$4-SUM($E$9:E227)</f>
        <v>0</v>
      </c>
      <c r="H227" s="467"/>
      <c r="I227" s="33"/>
    </row>
    <row r="228" spans="1:9" ht="13.5">
      <c r="A228" s="33"/>
      <c r="B228" s="469"/>
      <c r="C228" s="18">
        <v>220</v>
      </c>
      <c r="D228" s="27">
        <f t="shared" si="9"/>
        <v>89774.1771777404</v>
      </c>
      <c r="E228" s="17">
        <f t="shared" si="10"/>
        <v>0</v>
      </c>
      <c r="F228" s="17" t="e">
        <f t="shared" si="11"/>
        <v>#NUM!</v>
      </c>
      <c r="G228" s="25">
        <f>$E$4-SUM($E$9:E228)</f>
        <v>0</v>
      </c>
      <c r="H228" s="467"/>
      <c r="I228" s="33"/>
    </row>
    <row r="229" spans="1:9" ht="13.5">
      <c r="A229" s="33"/>
      <c r="B229" s="469"/>
      <c r="C229" s="18">
        <v>221</v>
      </c>
      <c r="D229" s="27">
        <f t="shared" si="9"/>
        <v>89774.1771777404</v>
      </c>
      <c r="E229" s="17">
        <f t="shared" si="10"/>
        <v>0</v>
      </c>
      <c r="F229" s="17" t="e">
        <f t="shared" si="11"/>
        <v>#NUM!</v>
      </c>
      <c r="G229" s="25">
        <f>$E$4-SUM($E$9:E229)</f>
        <v>0</v>
      </c>
      <c r="H229" s="467"/>
      <c r="I229" s="33"/>
    </row>
    <row r="230" spans="1:9" ht="13.5">
      <c r="A230" s="33"/>
      <c r="B230" s="469"/>
      <c r="C230" s="18">
        <v>222</v>
      </c>
      <c r="D230" s="27">
        <f t="shared" si="9"/>
        <v>89774.1771777404</v>
      </c>
      <c r="E230" s="17">
        <f t="shared" si="10"/>
        <v>0</v>
      </c>
      <c r="F230" s="17" t="e">
        <f t="shared" si="11"/>
        <v>#NUM!</v>
      </c>
      <c r="G230" s="25">
        <f>$E$4-SUM($E$9:E230)</f>
        <v>0</v>
      </c>
      <c r="H230" s="467"/>
      <c r="I230" s="33"/>
    </row>
    <row r="231" spans="1:9" ht="13.5">
      <c r="A231" s="33"/>
      <c r="B231" s="469"/>
      <c r="C231" s="18">
        <v>223</v>
      </c>
      <c r="D231" s="27">
        <f t="shared" si="9"/>
        <v>89774.1771777404</v>
      </c>
      <c r="E231" s="17">
        <f t="shared" si="10"/>
        <v>0</v>
      </c>
      <c r="F231" s="17" t="e">
        <f t="shared" si="11"/>
        <v>#NUM!</v>
      </c>
      <c r="G231" s="25">
        <f>$E$4-SUM($E$9:E231)</f>
        <v>0</v>
      </c>
      <c r="H231" s="467"/>
      <c r="I231" s="33"/>
    </row>
    <row r="232" spans="1:9" ht="13.5">
      <c r="A232" s="33"/>
      <c r="B232" s="469"/>
      <c r="C232" s="18">
        <v>224</v>
      </c>
      <c r="D232" s="27">
        <f t="shared" si="9"/>
        <v>89774.1771777404</v>
      </c>
      <c r="E232" s="17">
        <f t="shared" si="10"/>
        <v>0</v>
      </c>
      <c r="F232" s="17" t="e">
        <f t="shared" si="11"/>
        <v>#NUM!</v>
      </c>
      <c r="G232" s="25">
        <f>$E$4-SUM($E$9:E232)</f>
        <v>0</v>
      </c>
      <c r="H232" s="467"/>
      <c r="I232" s="33"/>
    </row>
    <row r="233" spans="1:9" ht="13.5">
      <c r="A233" s="33"/>
      <c r="B233" s="469"/>
      <c r="C233" s="18">
        <v>225</v>
      </c>
      <c r="D233" s="27">
        <f t="shared" si="9"/>
        <v>89774.1771777404</v>
      </c>
      <c r="E233" s="17">
        <f t="shared" si="10"/>
        <v>0</v>
      </c>
      <c r="F233" s="17" t="e">
        <f t="shared" si="11"/>
        <v>#NUM!</v>
      </c>
      <c r="G233" s="25">
        <f>$E$4-SUM($E$9:E233)</f>
        <v>0</v>
      </c>
      <c r="H233" s="467"/>
      <c r="I233" s="33"/>
    </row>
    <row r="234" spans="1:9" ht="13.5">
      <c r="A234" s="33"/>
      <c r="B234" s="469"/>
      <c r="C234" s="18">
        <v>226</v>
      </c>
      <c r="D234" s="27">
        <f t="shared" si="9"/>
        <v>89774.1771777404</v>
      </c>
      <c r="E234" s="17">
        <f t="shared" si="10"/>
        <v>0</v>
      </c>
      <c r="F234" s="17" t="e">
        <f t="shared" si="11"/>
        <v>#NUM!</v>
      </c>
      <c r="G234" s="25">
        <f>$E$4-SUM($E$9:E234)</f>
        <v>0</v>
      </c>
      <c r="H234" s="467"/>
      <c r="I234" s="33"/>
    </row>
    <row r="235" spans="1:9" ht="13.5">
      <c r="A235" s="33"/>
      <c r="B235" s="469"/>
      <c r="C235" s="18">
        <v>227</v>
      </c>
      <c r="D235" s="27">
        <f t="shared" si="9"/>
        <v>89774.1771777404</v>
      </c>
      <c r="E235" s="17">
        <f t="shared" si="10"/>
        <v>0</v>
      </c>
      <c r="F235" s="17" t="e">
        <f t="shared" si="11"/>
        <v>#NUM!</v>
      </c>
      <c r="G235" s="25">
        <f>$E$4-SUM($E$9:E235)</f>
        <v>0</v>
      </c>
      <c r="H235" s="467"/>
      <c r="I235" s="33"/>
    </row>
    <row r="236" spans="1:9" ht="14.25" thickBot="1">
      <c r="A236" s="33"/>
      <c r="B236" s="469"/>
      <c r="C236" s="18">
        <v>228</v>
      </c>
      <c r="D236" s="27">
        <f t="shared" si="9"/>
        <v>89774.1771777404</v>
      </c>
      <c r="E236" s="17">
        <f t="shared" si="10"/>
        <v>0</v>
      </c>
      <c r="F236" s="17" t="e">
        <f t="shared" si="11"/>
        <v>#NUM!</v>
      </c>
      <c r="G236" s="25">
        <f>$E$4-SUM($E$9:E236)</f>
        <v>0</v>
      </c>
      <c r="H236" s="468"/>
      <c r="I236" s="33"/>
    </row>
    <row r="237" spans="1:9" ht="13.5">
      <c r="A237" s="33"/>
      <c r="B237" s="469" t="s">
        <v>150</v>
      </c>
      <c r="C237" s="18">
        <v>229</v>
      </c>
      <c r="D237" s="27">
        <f t="shared" si="9"/>
        <v>89774.1771777404</v>
      </c>
      <c r="E237" s="17">
        <f t="shared" si="10"/>
        <v>0</v>
      </c>
      <c r="F237" s="17" t="e">
        <f t="shared" si="11"/>
        <v>#NUM!</v>
      </c>
      <c r="G237" s="25">
        <f>$E$4-SUM($E$9:E237)</f>
        <v>0</v>
      </c>
      <c r="H237" s="466">
        <f>+G248</f>
        <v>0</v>
      </c>
      <c r="I237" s="33"/>
    </row>
    <row r="238" spans="1:9" ht="13.5">
      <c r="A238" s="33"/>
      <c r="B238" s="469"/>
      <c r="C238" s="18">
        <v>230</v>
      </c>
      <c r="D238" s="27">
        <f t="shared" si="9"/>
        <v>89774.1771777404</v>
      </c>
      <c r="E238" s="17">
        <f t="shared" si="10"/>
        <v>0</v>
      </c>
      <c r="F238" s="17" t="e">
        <f t="shared" si="11"/>
        <v>#NUM!</v>
      </c>
      <c r="G238" s="25">
        <f>$E$4-SUM($E$9:E238)</f>
        <v>0</v>
      </c>
      <c r="H238" s="467"/>
      <c r="I238" s="33"/>
    </row>
    <row r="239" spans="1:9" ht="13.5">
      <c r="A239" s="33"/>
      <c r="B239" s="469"/>
      <c r="C239" s="18">
        <v>231</v>
      </c>
      <c r="D239" s="27">
        <f t="shared" si="9"/>
        <v>89774.1771777404</v>
      </c>
      <c r="E239" s="17">
        <f t="shared" si="10"/>
        <v>0</v>
      </c>
      <c r="F239" s="17" t="e">
        <f t="shared" si="11"/>
        <v>#NUM!</v>
      </c>
      <c r="G239" s="25">
        <f>$E$4-SUM($E$9:E239)</f>
        <v>0</v>
      </c>
      <c r="H239" s="467"/>
      <c r="I239" s="33"/>
    </row>
    <row r="240" spans="1:9" ht="13.5">
      <c r="A240" s="33"/>
      <c r="B240" s="469"/>
      <c r="C240" s="18">
        <v>232</v>
      </c>
      <c r="D240" s="27">
        <f t="shared" si="9"/>
        <v>89774.1771777404</v>
      </c>
      <c r="E240" s="17">
        <f t="shared" si="10"/>
        <v>0</v>
      </c>
      <c r="F240" s="17" t="e">
        <f t="shared" si="11"/>
        <v>#NUM!</v>
      </c>
      <c r="G240" s="25">
        <f>$E$4-SUM($E$9:E240)</f>
        <v>0</v>
      </c>
      <c r="H240" s="467"/>
      <c r="I240" s="33"/>
    </row>
    <row r="241" spans="1:9" ht="13.5">
      <c r="A241" s="33"/>
      <c r="B241" s="469"/>
      <c r="C241" s="18">
        <v>233</v>
      </c>
      <c r="D241" s="27">
        <f t="shared" si="9"/>
        <v>89774.1771777404</v>
      </c>
      <c r="E241" s="17">
        <f t="shared" si="10"/>
        <v>0</v>
      </c>
      <c r="F241" s="17" t="e">
        <f t="shared" si="11"/>
        <v>#NUM!</v>
      </c>
      <c r="G241" s="25">
        <f>$E$4-SUM($E$9:E241)</f>
        <v>0</v>
      </c>
      <c r="H241" s="467"/>
      <c r="I241" s="33"/>
    </row>
    <row r="242" spans="1:9" ht="13.5">
      <c r="A242" s="33"/>
      <c r="B242" s="469"/>
      <c r="C242" s="18">
        <v>234</v>
      </c>
      <c r="D242" s="27">
        <f t="shared" si="9"/>
        <v>89774.1771777404</v>
      </c>
      <c r="E242" s="17">
        <f t="shared" si="10"/>
        <v>0</v>
      </c>
      <c r="F242" s="17" t="e">
        <f t="shared" si="11"/>
        <v>#NUM!</v>
      </c>
      <c r="G242" s="25">
        <f>$E$4-SUM($E$9:E242)</f>
        <v>0</v>
      </c>
      <c r="H242" s="467"/>
      <c r="I242" s="33"/>
    </row>
    <row r="243" spans="1:9" ht="13.5">
      <c r="A243" s="33"/>
      <c r="B243" s="469"/>
      <c r="C243" s="18">
        <v>235</v>
      </c>
      <c r="D243" s="27">
        <f t="shared" si="9"/>
        <v>89774.1771777404</v>
      </c>
      <c r="E243" s="17">
        <f t="shared" si="10"/>
        <v>0</v>
      </c>
      <c r="F243" s="17" t="e">
        <f t="shared" si="11"/>
        <v>#NUM!</v>
      </c>
      <c r="G243" s="25">
        <f>$E$4-SUM($E$9:E243)</f>
        <v>0</v>
      </c>
      <c r="H243" s="467"/>
      <c r="I243" s="33"/>
    </row>
    <row r="244" spans="1:9" ht="13.5">
      <c r="A244" s="33"/>
      <c r="B244" s="469"/>
      <c r="C244" s="18">
        <v>236</v>
      </c>
      <c r="D244" s="27">
        <f t="shared" si="9"/>
        <v>89774.1771777404</v>
      </c>
      <c r="E244" s="17">
        <f t="shared" si="10"/>
        <v>0</v>
      </c>
      <c r="F244" s="17" t="e">
        <f t="shared" si="11"/>
        <v>#NUM!</v>
      </c>
      <c r="G244" s="25">
        <f>$E$4-SUM($E$9:E244)</f>
        <v>0</v>
      </c>
      <c r="H244" s="467"/>
      <c r="I244" s="33"/>
    </row>
    <row r="245" spans="1:9" ht="13.5">
      <c r="A245" s="33"/>
      <c r="B245" s="469"/>
      <c r="C245" s="18">
        <v>237</v>
      </c>
      <c r="D245" s="27">
        <f t="shared" si="9"/>
        <v>89774.1771777404</v>
      </c>
      <c r="E245" s="17">
        <f t="shared" si="10"/>
        <v>0</v>
      </c>
      <c r="F245" s="17" t="e">
        <f t="shared" si="11"/>
        <v>#NUM!</v>
      </c>
      <c r="G245" s="25">
        <f>$E$4-SUM($E$9:E245)</f>
        <v>0</v>
      </c>
      <c r="H245" s="467"/>
      <c r="I245" s="33"/>
    </row>
    <row r="246" spans="1:9" ht="13.5">
      <c r="A246" s="33"/>
      <c r="B246" s="469"/>
      <c r="C246" s="18">
        <v>238</v>
      </c>
      <c r="D246" s="27">
        <f t="shared" si="9"/>
        <v>89774.1771777404</v>
      </c>
      <c r="E246" s="17">
        <f t="shared" si="10"/>
        <v>0</v>
      </c>
      <c r="F246" s="17" t="e">
        <f t="shared" si="11"/>
        <v>#NUM!</v>
      </c>
      <c r="G246" s="25">
        <f>$E$4-SUM($E$9:E246)</f>
        <v>0</v>
      </c>
      <c r="H246" s="467"/>
      <c r="I246" s="33"/>
    </row>
    <row r="247" spans="1:9" ht="13.5">
      <c r="A247" s="33"/>
      <c r="B247" s="469"/>
      <c r="C247" s="18">
        <v>239</v>
      </c>
      <c r="D247" s="27">
        <f t="shared" si="9"/>
        <v>89774.1771777404</v>
      </c>
      <c r="E247" s="17">
        <f t="shared" si="10"/>
        <v>0</v>
      </c>
      <c r="F247" s="17" t="e">
        <f t="shared" si="11"/>
        <v>#NUM!</v>
      </c>
      <c r="G247" s="25">
        <f>$E$4-SUM($E$9:E247)</f>
        <v>0</v>
      </c>
      <c r="H247" s="467"/>
      <c r="I247" s="33"/>
    </row>
    <row r="248" spans="1:9" ht="14.25" thickBot="1">
      <c r="A248" s="33"/>
      <c r="B248" s="469"/>
      <c r="C248" s="18">
        <v>240</v>
      </c>
      <c r="D248" s="27">
        <f t="shared" si="9"/>
        <v>89774.1771777404</v>
      </c>
      <c r="E248" s="17">
        <f t="shared" si="10"/>
        <v>0</v>
      </c>
      <c r="F248" s="17" t="e">
        <f t="shared" si="11"/>
        <v>#NUM!</v>
      </c>
      <c r="G248" s="25">
        <f>$E$4-SUM($E$9:E248)</f>
        <v>0</v>
      </c>
      <c r="H248" s="468"/>
      <c r="I248" s="33"/>
    </row>
    <row r="249" spans="1:9" ht="13.5">
      <c r="A249" s="33"/>
      <c r="B249" s="469" t="s">
        <v>151</v>
      </c>
      <c r="C249" s="18">
        <v>241</v>
      </c>
      <c r="D249" s="27">
        <f t="shared" si="9"/>
        <v>89774.1771777404</v>
      </c>
      <c r="E249" s="17">
        <f t="shared" si="10"/>
        <v>0</v>
      </c>
      <c r="F249" s="17" t="e">
        <f t="shared" si="11"/>
        <v>#NUM!</v>
      </c>
      <c r="G249" s="25">
        <f>$E$4-SUM($E$9:E249)</f>
        <v>0</v>
      </c>
      <c r="H249" s="466">
        <f>+G260</f>
        <v>0</v>
      </c>
      <c r="I249" s="33"/>
    </row>
    <row r="250" spans="1:9" ht="13.5">
      <c r="A250" s="33"/>
      <c r="B250" s="469"/>
      <c r="C250" s="18">
        <v>242</v>
      </c>
      <c r="D250" s="27">
        <f t="shared" si="9"/>
        <v>89774.1771777404</v>
      </c>
      <c r="E250" s="17">
        <f t="shared" si="10"/>
        <v>0</v>
      </c>
      <c r="F250" s="17" t="e">
        <f t="shared" si="11"/>
        <v>#NUM!</v>
      </c>
      <c r="G250" s="25">
        <f>$E$4-SUM($E$9:E250)</f>
        <v>0</v>
      </c>
      <c r="H250" s="467"/>
      <c r="I250" s="33"/>
    </row>
    <row r="251" spans="1:9" ht="13.5">
      <c r="A251" s="33"/>
      <c r="B251" s="469"/>
      <c r="C251" s="18">
        <v>243</v>
      </c>
      <c r="D251" s="27">
        <f t="shared" si="9"/>
        <v>89774.1771777404</v>
      </c>
      <c r="E251" s="17">
        <f t="shared" si="10"/>
        <v>0</v>
      </c>
      <c r="F251" s="17" t="e">
        <f t="shared" si="11"/>
        <v>#NUM!</v>
      </c>
      <c r="G251" s="25">
        <f>$E$4-SUM($E$9:E251)</f>
        <v>0</v>
      </c>
      <c r="H251" s="467"/>
      <c r="I251" s="33"/>
    </row>
    <row r="252" spans="1:9" ht="13.5">
      <c r="A252" s="33"/>
      <c r="B252" s="469"/>
      <c r="C252" s="18">
        <v>244</v>
      </c>
      <c r="D252" s="27">
        <f t="shared" si="9"/>
        <v>89774.1771777404</v>
      </c>
      <c r="E252" s="17">
        <f t="shared" si="10"/>
        <v>0</v>
      </c>
      <c r="F252" s="17" t="e">
        <f t="shared" si="11"/>
        <v>#NUM!</v>
      </c>
      <c r="G252" s="25">
        <f>$E$4-SUM($E$9:E252)</f>
        <v>0</v>
      </c>
      <c r="H252" s="467"/>
      <c r="I252" s="33"/>
    </row>
    <row r="253" spans="1:9" ht="13.5">
      <c r="A253" s="33"/>
      <c r="B253" s="469"/>
      <c r="C253" s="18">
        <v>245</v>
      </c>
      <c r="D253" s="27">
        <f t="shared" si="9"/>
        <v>89774.1771777404</v>
      </c>
      <c r="E253" s="17">
        <f t="shared" si="10"/>
        <v>0</v>
      </c>
      <c r="F253" s="17" t="e">
        <f t="shared" si="11"/>
        <v>#NUM!</v>
      </c>
      <c r="G253" s="25">
        <f>$E$4-SUM($E$9:E253)</f>
        <v>0</v>
      </c>
      <c r="H253" s="467"/>
      <c r="I253" s="33"/>
    </row>
    <row r="254" spans="1:9" ht="13.5">
      <c r="A254" s="33"/>
      <c r="B254" s="469"/>
      <c r="C254" s="18">
        <v>246</v>
      </c>
      <c r="D254" s="27">
        <f t="shared" si="9"/>
        <v>89774.1771777404</v>
      </c>
      <c r="E254" s="17">
        <f t="shared" si="10"/>
        <v>0</v>
      </c>
      <c r="F254" s="17" t="e">
        <f t="shared" si="11"/>
        <v>#NUM!</v>
      </c>
      <c r="G254" s="25">
        <f>$E$4-SUM($E$9:E254)</f>
        <v>0</v>
      </c>
      <c r="H254" s="467"/>
      <c r="I254" s="33"/>
    </row>
    <row r="255" spans="1:9" ht="13.5">
      <c r="A255" s="33"/>
      <c r="B255" s="469"/>
      <c r="C255" s="18">
        <v>247</v>
      </c>
      <c r="D255" s="27">
        <f t="shared" si="9"/>
        <v>89774.1771777404</v>
      </c>
      <c r="E255" s="17">
        <f t="shared" si="10"/>
        <v>0</v>
      </c>
      <c r="F255" s="17" t="e">
        <f t="shared" si="11"/>
        <v>#NUM!</v>
      </c>
      <c r="G255" s="25">
        <f>$E$4-SUM($E$9:E255)</f>
        <v>0</v>
      </c>
      <c r="H255" s="467"/>
      <c r="I255" s="33"/>
    </row>
    <row r="256" spans="1:9" ht="13.5">
      <c r="A256" s="33"/>
      <c r="B256" s="469"/>
      <c r="C256" s="18">
        <v>248</v>
      </c>
      <c r="D256" s="27">
        <f t="shared" si="9"/>
        <v>89774.1771777404</v>
      </c>
      <c r="E256" s="17">
        <f t="shared" si="10"/>
        <v>0</v>
      </c>
      <c r="F256" s="17" t="e">
        <f t="shared" si="11"/>
        <v>#NUM!</v>
      </c>
      <c r="G256" s="25">
        <f>$E$4-SUM($E$9:E256)</f>
        <v>0</v>
      </c>
      <c r="H256" s="467"/>
      <c r="I256" s="33"/>
    </row>
    <row r="257" spans="1:9" ht="13.5">
      <c r="A257" s="33"/>
      <c r="B257" s="469"/>
      <c r="C257" s="18">
        <v>249</v>
      </c>
      <c r="D257" s="27">
        <f t="shared" si="9"/>
        <v>89774.1771777404</v>
      </c>
      <c r="E257" s="17">
        <f t="shared" si="10"/>
        <v>0</v>
      </c>
      <c r="F257" s="17" t="e">
        <f t="shared" si="11"/>
        <v>#NUM!</v>
      </c>
      <c r="G257" s="25">
        <f>$E$4-SUM($E$9:E257)</f>
        <v>0</v>
      </c>
      <c r="H257" s="467"/>
      <c r="I257" s="33"/>
    </row>
    <row r="258" spans="1:9" ht="13.5">
      <c r="A258" s="33"/>
      <c r="B258" s="469"/>
      <c r="C258" s="18">
        <v>250</v>
      </c>
      <c r="D258" s="27">
        <f t="shared" si="9"/>
        <v>89774.1771777404</v>
      </c>
      <c r="E258" s="17">
        <f t="shared" si="10"/>
        <v>0</v>
      </c>
      <c r="F258" s="17" t="e">
        <f t="shared" si="11"/>
        <v>#NUM!</v>
      </c>
      <c r="G258" s="25">
        <f>$E$4-SUM($E$9:E258)</f>
        <v>0</v>
      </c>
      <c r="H258" s="467"/>
      <c r="I258" s="33"/>
    </row>
    <row r="259" spans="1:9" ht="13.5">
      <c r="A259" s="33"/>
      <c r="B259" s="469"/>
      <c r="C259" s="18">
        <v>251</v>
      </c>
      <c r="D259" s="27">
        <f t="shared" si="9"/>
        <v>89774.1771777404</v>
      </c>
      <c r="E259" s="17">
        <f t="shared" si="10"/>
        <v>0</v>
      </c>
      <c r="F259" s="17" t="e">
        <f t="shared" si="11"/>
        <v>#NUM!</v>
      </c>
      <c r="G259" s="25">
        <f>$E$4-SUM($E$9:E259)</f>
        <v>0</v>
      </c>
      <c r="H259" s="467"/>
      <c r="I259" s="33"/>
    </row>
    <row r="260" spans="1:9" ht="14.25" thickBot="1">
      <c r="A260" s="33"/>
      <c r="B260" s="469"/>
      <c r="C260" s="18">
        <v>252</v>
      </c>
      <c r="D260" s="27">
        <f t="shared" si="9"/>
        <v>89774.1771777404</v>
      </c>
      <c r="E260" s="17">
        <f t="shared" si="10"/>
        <v>0</v>
      </c>
      <c r="F260" s="17" t="e">
        <f t="shared" si="11"/>
        <v>#NUM!</v>
      </c>
      <c r="G260" s="25">
        <f>$E$4-SUM($E$9:E260)</f>
        <v>0</v>
      </c>
      <c r="H260" s="468"/>
      <c r="I260" s="33"/>
    </row>
    <row r="261" spans="1:9" ht="13.5">
      <c r="A261" s="33"/>
      <c r="B261" s="469" t="s">
        <v>152</v>
      </c>
      <c r="C261" s="18">
        <v>253</v>
      </c>
      <c r="D261" s="27">
        <f t="shared" si="9"/>
        <v>89774.1771777404</v>
      </c>
      <c r="E261" s="17">
        <f t="shared" si="10"/>
        <v>0</v>
      </c>
      <c r="F261" s="17" t="e">
        <f t="shared" si="11"/>
        <v>#NUM!</v>
      </c>
      <c r="G261" s="25">
        <f>$E$4-SUM($E$9:E261)</f>
        <v>0</v>
      </c>
      <c r="H261" s="466">
        <f>+G272</f>
        <v>0</v>
      </c>
      <c r="I261" s="33"/>
    </row>
    <row r="262" spans="1:9" ht="13.5">
      <c r="A262" s="33"/>
      <c r="B262" s="469"/>
      <c r="C262" s="18">
        <v>254</v>
      </c>
      <c r="D262" s="27">
        <f t="shared" si="9"/>
        <v>89774.1771777404</v>
      </c>
      <c r="E262" s="17">
        <f t="shared" si="10"/>
        <v>0</v>
      </c>
      <c r="F262" s="17" t="e">
        <f t="shared" si="11"/>
        <v>#NUM!</v>
      </c>
      <c r="G262" s="25">
        <f>$E$4-SUM($E$9:E262)</f>
        <v>0</v>
      </c>
      <c r="H262" s="467"/>
      <c r="I262" s="33"/>
    </row>
    <row r="263" spans="1:9" ht="13.5">
      <c r="A263" s="33"/>
      <c r="B263" s="469"/>
      <c r="C263" s="18">
        <v>255</v>
      </c>
      <c r="D263" s="27">
        <f t="shared" si="9"/>
        <v>89774.1771777404</v>
      </c>
      <c r="E263" s="17">
        <f t="shared" si="10"/>
        <v>0</v>
      </c>
      <c r="F263" s="17" t="e">
        <f t="shared" si="11"/>
        <v>#NUM!</v>
      </c>
      <c r="G263" s="25">
        <f>$E$4-SUM($E$9:E263)</f>
        <v>0</v>
      </c>
      <c r="H263" s="467"/>
      <c r="I263" s="33"/>
    </row>
    <row r="264" spans="1:9" ht="13.5">
      <c r="A264" s="33"/>
      <c r="B264" s="469"/>
      <c r="C264" s="18">
        <v>256</v>
      </c>
      <c r="D264" s="27">
        <f t="shared" si="9"/>
        <v>89774.1771777404</v>
      </c>
      <c r="E264" s="17">
        <f t="shared" si="10"/>
        <v>0</v>
      </c>
      <c r="F264" s="17" t="e">
        <f t="shared" si="11"/>
        <v>#NUM!</v>
      </c>
      <c r="G264" s="25">
        <f>$E$4-SUM($E$9:E264)</f>
        <v>0</v>
      </c>
      <c r="H264" s="467"/>
      <c r="I264" s="33"/>
    </row>
    <row r="265" spans="1:9" ht="13.5">
      <c r="A265" s="33"/>
      <c r="B265" s="469"/>
      <c r="C265" s="18">
        <v>257</v>
      </c>
      <c r="D265" s="27">
        <f t="shared" si="9"/>
        <v>89774.1771777404</v>
      </c>
      <c r="E265" s="17">
        <f t="shared" si="10"/>
        <v>0</v>
      </c>
      <c r="F265" s="17" t="e">
        <f t="shared" si="11"/>
        <v>#NUM!</v>
      </c>
      <c r="G265" s="25">
        <f>$E$4-SUM($E$9:E265)</f>
        <v>0</v>
      </c>
      <c r="H265" s="467"/>
      <c r="I265" s="33"/>
    </row>
    <row r="266" spans="1:9" ht="13.5">
      <c r="A266" s="33"/>
      <c r="B266" s="469"/>
      <c r="C266" s="18">
        <v>258</v>
      </c>
      <c r="D266" s="27">
        <f aca="true" t="shared" si="12" ref="D266:D308">$E$7</f>
        <v>89774.1771777404</v>
      </c>
      <c r="E266" s="17">
        <f aca="true" t="shared" si="13" ref="E266:E308">IF($H$4&gt;C266-1,-PPMT($G$4/12,$C266,$H$4,$E$4),0)</f>
        <v>0</v>
      </c>
      <c r="F266" s="17" t="e">
        <f aca="true" t="shared" si="14" ref="F266:F308">-IPMT($G$4/12,$C266,$H$4,$E$4)</f>
        <v>#NUM!</v>
      </c>
      <c r="G266" s="25">
        <f>$E$4-SUM($E$9:E266)</f>
        <v>0</v>
      </c>
      <c r="H266" s="467"/>
      <c r="I266" s="33"/>
    </row>
    <row r="267" spans="1:9" ht="13.5">
      <c r="A267" s="33"/>
      <c r="B267" s="469"/>
      <c r="C267" s="18">
        <v>259</v>
      </c>
      <c r="D267" s="27">
        <f t="shared" si="12"/>
        <v>89774.1771777404</v>
      </c>
      <c r="E267" s="17">
        <f t="shared" si="13"/>
        <v>0</v>
      </c>
      <c r="F267" s="17" t="e">
        <f t="shared" si="14"/>
        <v>#NUM!</v>
      </c>
      <c r="G267" s="25">
        <f>$E$4-SUM($E$9:E267)</f>
        <v>0</v>
      </c>
      <c r="H267" s="467"/>
      <c r="I267" s="33"/>
    </row>
    <row r="268" spans="1:9" ht="13.5">
      <c r="A268" s="33"/>
      <c r="B268" s="469"/>
      <c r="C268" s="18">
        <v>260</v>
      </c>
      <c r="D268" s="27">
        <f t="shared" si="12"/>
        <v>89774.1771777404</v>
      </c>
      <c r="E268" s="17">
        <f t="shared" si="13"/>
        <v>0</v>
      </c>
      <c r="F268" s="17" t="e">
        <f t="shared" si="14"/>
        <v>#NUM!</v>
      </c>
      <c r="G268" s="25">
        <f>$E$4-SUM($E$9:E268)</f>
        <v>0</v>
      </c>
      <c r="H268" s="467"/>
      <c r="I268" s="33"/>
    </row>
    <row r="269" spans="1:9" ht="13.5">
      <c r="A269" s="33"/>
      <c r="B269" s="469"/>
      <c r="C269" s="18">
        <v>261</v>
      </c>
      <c r="D269" s="27">
        <f t="shared" si="12"/>
        <v>89774.1771777404</v>
      </c>
      <c r="E269" s="17">
        <f t="shared" si="13"/>
        <v>0</v>
      </c>
      <c r="F269" s="17" t="e">
        <f t="shared" si="14"/>
        <v>#NUM!</v>
      </c>
      <c r="G269" s="25">
        <f>$E$4-SUM($E$9:E269)</f>
        <v>0</v>
      </c>
      <c r="H269" s="467"/>
      <c r="I269" s="33"/>
    </row>
    <row r="270" spans="1:9" ht="13.5">
      <c r="A270" s="33"/>
      <c r="B270" s="469"/>
      <c r="C270" s="18">
        <v>262</v>
      </c>
      <c r="D270" s="27">
        <f t="shared" si="12"/>
        <v>89774.1771777404</v>
      </c>
      <c r="E270" s="17">
        <f t="shared" si="13"/>
        <v>0</v>
      </c>
      <c r="F270" s="17" t="e">
        <f t="shared" si="14"/>
        <v>#NUM!</v>
      </c>
      <c r="G270" s="25">
        <f>$E$4-SUM($E$9:E270)</f>
        <v>0</v>
      </c>
      <c r="H270" s="467"/>
      <c r="I270" s="33"/>
    </row>
    <row r="271" spans="1:9" ht="13.5">
      <c r="A271" s="33"/>
      <c r="B271" s="469"/>
      <c r="C271" s="18">
        <v>263</v>
      </c>
      <c r="D271" s="27">
        <f t="shared" si="12"/>
        <v>89774.1771777404</v>
      </c>
      <c r="E271" s="17">
        <f t="shared" si="13"/>
        <v>0</v>
      </c>
      <c r="F271" s="17" t="e">
        <f t="shared" si="14"/>
        <v>#NUM!</v>
      </c>
      <c r="G271" s="25">
        <f>$E$4-SUM($E$9:E271)</f>
        <v>0</v>
      </c>
      <c r="H271" s="467"/>
      <c r="I271" s="33"/>
    </row>
    <row r="272" spans="1:9" ht="14.25" thickBot="1">
      <c r="A272" s="33"/>
      <c r="B272" s="469"/>
      <c r="C272" s="18">
        <v>264</v>
      </c>
      <c r="D272" s="27">
        <f t="shared" si="12"/>
        <v>89774.1771777404</v>
      </c>
      <c r="E272" s="17">
        <f t="shared" si="13"/>
        <v>0</v>
      </c>
      <c r="F272" s="17" t="e">
        <f t="shared" si="14"/>
        <v>#NUM!</v>
      </c>
      <c r="G272" s="25">
        <f>$E$4-SUM($E$9:E272)</f>
        <v>0</v>
      </c>
      <c r="H272" s="468"/>
      <c r="I272" s="33"/>
    </row>
    <row r="273" spans="1:9" ht="13.5">
      <c r="A273" s="33"/>
      <c r="B273" s="469" t="s">
        <v>153</v>
      </c>
      <c r="C273" s="18">
        <v>265</v>
      </c>
      <c r="D273" s="27">
        <f t="shared" si="12"/>
        <v>89774.1771777404</v>
      </c>
      <c r="E273" s="17">
        <f t="shared" si="13"/>
        <v>0</v>
      </c>
      <c r="F273" s="17" t="e">
        <f t="shared" si="14"/>
        <v>#NUM!</v>
      </c>
      <c r="G273" s="25">
        <f>$E$4-SUM($E$9:E273)</f>
        <v>0</v>
      </c>
      <c r="H273" s="466">
        <f>+G284</f>
        <v>0</v>
      </c>
      <c r="I273" s="33"/>
    </row>
    <row r="274" spans="1:9" ht="13.5">
      <c r="A274" s="33"/>
      <c r="B274" s="469"/>
      <c r="C274" s="18">
        <v>266</v>
      </c>
      <c r="D274" s="27">
        <f t="shared" si="12"/>
        <v>89774.1771777404</v>
      </c>
      <c r="E274" s="17">
        <f t="shared" si="13"/>
        <v>0</v>
      </c>
      <c r="F274" s="17" t="e">
        <f t="shared" si="14"/>
        <v>#NUM!</v>
      </c>
      <c r="G274" s="25">
        <f>$E$4-SUM($E$9:E274)</f>
        <v>0</v>
      </c>
      <c r="H274" s="467"/>
      <c r="I274" s="33"/>
    </row>
    <row r="275" spans="1:9" ht="13.5">
      <c r="A275" s="33"/>
      <c r="B275" s="469"/>
      <c r="C275" s="18">
        <v>267</v>
      </c>
      <c r="D275" s="27">
        <f t="shared" si="12"/>
        <v>89774.1771777404</v>
      </c>
      <c r="E275" s="17">
        <f t="shared" si="13"/>
        <v>0</v>
      </c>
      <c r="F275" s="17" t="e">
        <f t="shared" si="14"/>
        <v>#NUM!</v>
      </c>
      <c r="G275" s="25">
        <f>$E$4-SUM($E$9:E275)</f>
        <v>0</v>
      </c>
      <c r="H275" s="467"/>
      <c r="I275" s="33"/>
    </row>
    <row r="276" spans="1:9" ht="13.5">
      <c r="A276" s="33"/>
      <c r="B276" s="469"/>
      <c r="C276" s="18">
        <v>268</v>
      </c>
      <c r="D276" s="27">
        <f t="shared" si="12"/>
        <v>89774.1771777404</v>
      </c>
      <c r="E276" s="17">
        <f t="shared" si="13"/>
        <v>0</v>
      </c>
      <c r="F276" s="17" t="e">
        <f t="shared" si="14"/>
        <v>#NUM!</v>
      </c>
      <c r="G276" s="25">
        <f>$E$4-SUM($E$9:E276)</f>
        <v>0</v>
      </c>
      <c r="H276" s="467"/>
      <c r="I276" s="33"/>
    </row>
    <row r="277" spans="1:9" ht="13.5">
      <c r="A277" s="33"/>
      <c r="B277" s="469"/>
      <c r="C277" s="18">
        <v>269</v>
      </c>
      <c r="D277" s="27">
        <f t="shared" si="12"/>
        <v>89774.1771777404</v>
      </c>
      <c r="E277" s="17">
        <f t="shared" si="13"/>
        <v>0</v>
      </c>
      <c r="F277" s="17" t="e">
        <f t="shared" si="14"/>
        <v>#NUM!</v>
      </c>
      <c r="G277" s="25">
        <f>$E$4-SUM($E$9:E277)</f>
        <v>0</v>
      </c>
      <c r="H277" s="467"/>
      <c r="I277" s="33"/>
    </row>
    <row r="278" spans="1:9" ht="13.5">
      <c r="A278" s="33"/>
      <c r="B278" s="469"/>
      <c r="C278" s="18">
        <v>270</v>
      </c>
      <c r="D278" s="27">
        <f t="shared" si="12"/>
        <v>89774.1771777404</v>
      </c>
      <c r="E278" s="17">
        <f t="shared" si="13"/>
        <v>0</v>
      </c>
      <c r="F278" s="17" t="e">
        <f t="shared" si="14"/>
        <v>#NUM!</v>
      </c>
      <c r="G278" s="25">
        <f>$E$4-SUM($E$9:E278)</f>
        <v>0</v>
      </c>
      <c r="H278" s="467"/>
      <c r="I278" s="33"/>
    </row>
    <row r="279" spans="1:9" ht="13.5">
      <c r="A279" s="33"/>
      <c r="B279" s="469"/>
      <c r="C279" s="18">
        <v>271</v>
      </c>
      <c r="D279" s="27">
        <f t="shared" si="12"/>
        <v>89774.1771777404</v>
      </c>
      <c r="E279" s="17">
        <f t="shared" si="13"/>
        <v>0</v>
      </c>
      <c r="F279" s="17" t="e">
        <f t="shared" si="14"/>
        <v>#NUM!</v>
      </c>
      <c r="G279" s="25">
        <f>$E$4-SUM($E$9:E279)</f>
        <v>0</v>
      </c>
      <c r="H279" s="467"/>
      <c r="I279" s="33"/>
    </row>
    <row r="280" spans="1:9" ht="13.5">
      <c r="A280" s="33"/>
      <c r="B280" s="469"/>
      <c r="C280" s="18">
        <v>272</v>
      </c>
      <c r="D280" s="27">
        <f t="shared" si="12"/>
        <v>89774.1771777404</v>
      </c>
      <c r="E280" s="17">
        <f t="shared" si="13"/>
        <v>0</v>
      </c>
      <c r="F280" s="17" t="e">
        <f t="shared" si="14"/>
        <v>#NUM!</v>
      </c>
      <c r="G280" s="25">
        <f>$E$4-SUM($E$9:E280)</f>
        <v>0</v>
      </c>
      <c r="H280" s="467"/>
      <c r="I280" s="33"/>
    </row>
    <row r="281" spans="1:9" ht="13.5">
      <c r="A281" s="33"/>
      <c r="B281" s="469"/>
      <c r="C281" s="18">
        <v>273</v>
      </c>
      <c r="D281" s="27">
        <f t="shared" si="12"/>
        <v>89774.1771777404</v>
      </c>
      <c r="E281" s="17">
        <f t="shared" si="13"/>
        <v>0</v>
      </c>
      <c r="F281" s="17" t="e">
        <f t="shared" si="14"/>
        <v>#NUM!</v>
      </c>
      <c r="G281" s="25">
        <f>$E$4-SUM($E$9:E281)</f>
        <v>0</v>
      </c>
      <c r="H281" s="467"/>
      <c r="I281" s="33"/>
    </row>
    <row r="282" spans="1:9" ht="13.5">
      <c r="A282" s="33"/>
      <c r="B282" s="469"/>
      <c r="C282" s="18">
        <v>274</v>
      </c>
      <c r="D282" s="27">
        <f t="shared" si="12"/>
        <v>89774.1771777404</v>
      </c>
      <c r="E282" s="17">
        <f t="shared" si="13"/>
        <v>0</v>
      </c>
      <c r="F282" s="17" t="e">
        <f t="shared" si="14"/>
        <v>#NUM!</v>
      </c>
      <c r="G282" s="25">
        <f>$E$4-SUM($E$9:E282)</f>
        <v>0</v>
      </c>
      <c r="H282" s="467"/>
      <c r="I282" s="33"/>
    </row>
    <row r="283" spans="1:9" ht="13.5">
      <c r="A283" s="33"/>
      <c r="B283" s="469"/>
      <c r="C283" s="18">
        <v>275</v>
      </c>
      <c r="D283" s="27">
        <f t="shared" si="12"/>
        <v>89774.1771777404</v>
      </c>
      <c r="E283" s="17">
        <f t="shared" si="13"/>
        <v>0</v>
      </c>
      <c r="F283" s="17" t="e">
        <f t="shared" si="14"/>
        <v>#NUM!</v>
      </c>
      <c r="G283" s="25">
        <f>$E$4-SUM($E$9:E283)</f>
        <v>0</v>
      </c>
      <c r="H283" s="467"/>
      <c r="I283" s="33"/>
    </row>
    <row r="284" spans="1:9" ht="14.25" thickBot="1">
      <c r="A284" s="33"/>
      <c r="B284" s="469"/>
      <c r="C284" s="18">
        <v>276</v>
      </c>
      <c r="D284" s="27">
        <f t="shared" si="12"/>
        <v>89774.1771777404</v>
      </c>
      <c r="E284" s="17">
        <f t="shared" si="13"/>
        <v>0</v>
      </c>
      <c r="F284" s="17" t="e">
        <f t="shared" si="14"/>
        <v>#NUM!</v>
      </c>
      <c r="G284" s="25">
        <f>$E$4-SUM($E$9:E284)</f>
        <v>0</v>
      </c>
      <c r="H284" s="468"/>
      <c r="I284" s="33"/>
    </row>
    <row r="285" spans="1:9" ht="13.5">
      <c r="A285" s="33"/>
      <c r="B285" s="469" t="s">
        <v>154</v>
      </c>
      <c r="C285" s="18">
        <v>277</v>
      </c>
      <c r="D285" s="27">
        <f t="shared" si="12"/>
        <v>89774.1771777404</v>
      </c>
      <c r="E285" s="17">
        <f t="shared" si="13"/>
        <v>0</v>
      </c>
      <c r="F285" s="17" t="e">
        <f t="shared" si="14"/>
        <v>#NUM!</v>
      </c>
      <c r="G285" s="25">
        <f>$E$4-SUM($E$9:E285)</f>
        <v>0</v>
      </c>
      <c r="H285" s="466">
        <f>+G296</f>
        <v>0</v>
      </c>
      <c r="I285" s="33"/>
    </row>
    <row r="286" spans="1:9" ht="13.5">
      <c r="A286" s="33"/>
      <c r="B286" s="469"/>
      <c r="C286" s="18">
        <v>278</v>
      </c>
      <c r="D286" s="27">
        <f t="shared" si="12"/>
        <v>89774.1771777404</v>
      </c>
      <c r="E286" s="17">
        <f t="shared" si="13"/>
        <v>0</v>
      </c>
      <c r="F286" s="17" t="e">
        <f t="shared" si="14"/>
        <v>#NUM!</v>
      </c>
      <c r="G286" s="25">
        <f>$E$4-SUM($E$9:E286)</f>
        <v>0</v>
      </c>
      <c r="H286" s="467"/>
      <c r="I286" s="33"/>
    </row>
    <row r="287" spans="1:9" ht="13.5">
      <c r="A287" s="33"/>
      <c r="B287" s="469"/>
      <c r="C287" s="18">
        <v>279</v>
      </c>
      <c r="D287" s="27">
        <f t="shared" si="12"/>
        <v>89774.1771777404</v>
      </c>
      <c r="E287" s="17">
        <f t="shared" si="13"/>
        <v>0</v>
      </c>
      <c r="F287" s="17" t="e">
        <f t="shared" si="14"/>
        <v>#NUM!</v>
      </c>
      <c r="G287" s="25">
        <f>$E$4-SUM($E$9:E287)</f>
        <v>0</v>
      </c>
      <c r="H287" s="467"/>
      <c r="I287" s="33"/>
    </row>
    <row r="288" spans="1:9" ht="13.5">
      <c r="A288" s="33"/>
      <c r="B288" s="469"/>
      <c r="C288" s="18">
        <v>280</v>
      </c>
      <c r="D288" s="27">
        <f t="shared" si="12"/>
        <v>89774.1771777404</v>
      </c>
      <c r="E288" s="17">
        <f t="shared" si="13"/>
        <v>0</v>
      </c>
      <c r="F288" s="17" t="e">
        <f t="shared" si="14"/>
        <v>#NUM!</v>
      </c>
      <c r="G288" s="25">
        <f>$E$4-SUM($E$9:E288)</f>
        <v>0</v>
      </c>
      <c r="H288" s="467"/>
      <c r="I288" s="33"/>
    </row>
    <row r="289" spans="1:9" ht="13.5">
      <c r="A289" s="33"/>
      <c r="B289" s="469"/>
      <c r="C289" s="18">
        <v>281</v>
      </c>
      <c r="D289" s="27">
        <f t="shared" si="12"/>
        <v>89774.1771777404</v>
      </c>
      <c r="E289" s="17">
        <f t="shared" si="13"/>
        <v>0</v>
      </c>
      <c r="F289" s="17" t="e">
        <f t="shared" si="14"/>
        <v>#NUM!</v>
      </c>
      <c r="G289" s="25">
        <f>$E$4-SUM($E$9:E289)</f>
        <v>0</v>
      </c>
      <c r="H289" s="467"/>
      <c r="I289" s="33"/>
    </row>
    <row r="290" spans="1:9" ht="13.5">
      <c r="A290" s="33"/>
      <c r="B290" s="469"/>
      <c r="C290" s="18">
        <v>282</v>
      </c>
      <c r="D290" s="27">
        <f t="shared" si="12"/>
        <v>89774.1771777404</v>
      </c>
      <c r="E290" s="17">
        <f t="shared" si="13"/>
        <v>0</v>
      </c>
      <c r="F290" s="17" t="e">
        <f t="shared" si="14"/>
        <v>#NUM!</v>
      </c>
      <c r="G290" s="25">
        <f>$E$4-SUM($E$9:E290)</f>
        <v>0</v>
      </c>
      <c r="H290" s="467"/>
      <c r="I290" s="33"/>
    </row>
    <row r="291" spans="1:9" ht="13.5">
      <c r="A291" s="33"/>
      <c r="B291" s="469"/>
      <c r="C291" s="18">
        <v>283</v>
      </c>
      <c r="D291" s="27">
        <f t="shared" si="12"/>
        <v>89774.1771777404</v>
      </c>
      <c r="E291" s="17">
        <f t="shared" si="13"/>
        <v>0</v>
      </c>
      <c r="F291" s="17" t="e">
        <f t="shared" si="14"/>
        <v>#NUM!</v>
      </c>
      <c r="G291" s="25">
        <f>$E$4-SUM($E$9:E291)</f>
        <v>0</v>
      </c>
      <c r="H291" s="467"/>
      <c r="I291" s="33"/>
    </row>
    <row r="292" spans="1:9" ht="13.5">
      <c r="A292" s="33"/>
      <c r="B292" s="469"/>
      <c r="C292" s="18">
        <v>284</v>
      </c>
      <c r="D292" s="27">
        <f t="shared" si="12"/>
        <v>89774.1771777404</v>
      </c>
      <c r="E292" s="17">
        <f t="shared" si="13"/>
        <v>0</v>
      </c>
      <c r="F292" s="17" t="e">
        <f t="shared" si="14"/>
        <v>#NUM!</v>
      </c>
      <c r="G292" s="25">
        <f>$E$4-SUM($E$9:E292)</f>
        <v>0</v>
      </c>
      <c r="H292" s="467"/>
      <c r="I292" s="33"/>
    </row>
    <row r="293" spans="1:9" ht="13.5">
      <c r="A293" s="33"/>
      <c r="B293" s="469"/>
      <c r="C293" s="18">
        <v>285</v>
      </c>
      <c r="D293" s="27">
        <f t="shared" si="12"/>
        <v>89774.1771777404</v>
      </c>
      <c r="E293" s="17">
        <f t="shared" si="13"/>
        <v>0</v>
      </c>
      <c r="F293" s="17" t="e">
        <f t="shared" si="14"/>
        <v>#NUM!</v>
      </c>
      <c r="G293" s="25">
        <f>$E$4-SUM($E$9:E293)</f>
        <v>0</v>
      </c>
      <c r="H293" s="467"/>
      <c r="I293" s="33"/>
    </row>
    <row r="294" spans="1:9" ht="13.5">
      <c r="A294" s="33"/>
      <c r="B294" s="469"/>
      <c r="C294" s="18">
        <v>286</v>
      </c>
      <c r="D294" s="27">
        <f t="shared" si="12"/>
        <v>89774.1771777404</v>
      </c>
      <c r="E294" s="17">
        <f t="shared" si="13"/>
        <v>0</v>
      </c>
      <c r="F294" s="17" t="e">
        <f t="shared" si="14"/>
        <v>#NUM!</v>
      </c>
      <c r="G294" s="25">
        <f>$E$4-SUM($E$9:E294)</f>
        <v>0</v>
      </c>
      <c r="H294" s="467"/>
      <c r="I294" s="33"/>
    </row>
    <row r="295" spans="1:9" ht="13.5">
      <c r="A295" s="33"/>
      <c r="B295" s="469"/>
      <c r="C295" s="18">
        <v>287</v>
      </c>
      <c r="D295" s="27">
        <f t="shared" si="12"/>
        <v>89774.1771777404</v>
      </c>
      <c r="E295" s="17">
        <f t="shared" si="13"/>
        <v>0</v>
      </c>
      <c r="F295" s="17" t="e">
        <f t="shared" si="14"/>
        <v>#NUM!</v>
      </c>
      <c r="G295" s="25">
        <f>$E$4-SUM($E$9:E295)</f>
        <v>0</v>
      </c>
      <c r="H295" s="467"/>
      <c r="I295" s="33"/>
    </row>
    <row r="296" spans="1:9" ht="14.25" thickBot="1">
      <c r="A296" s="33"/>
      <c r="B296" s="469"/>
      <c r="C296" s="18">
        <v>288</v>
      </c>
      <c r="D296" s="27">
        <f t="shared" si="12"/>
        <v>89774.1771777404</v>
      </c>
      <c r="E296" s="17">
        <f t="shared" si="13"/>
        <v>0</v>
      </c>
      <c r="F296" s="17" t="e">
        <f t="shared" si="14"/>
        <v>#NUM!</v>
      </c>
      <c r="G296" s="25">
        <f>$E$4-SUM($E$9:E296)</f>
        <v>0</v>
      </c>
      <c r="H296" s="468"/>
      <c r="I296" s="33"/>
    </row>
    <row r="297" spans="1:9" ht="13.5">
      <c r="A297" s="33"/>
      <c r="B297" s="469" t="s">
        <v>155</v>
      </c>
      <c r="C297" s="18">
        <v>289</v>
      </c>
      <c r="D297" s="27">
        <f t="shared" si="12"/>
        <v>89774.1771777404</v>
      </c>
      <c r="E297" s="17">
        <f t="shared" si="13"/>
        <v>0</v>
      </c>
      <c r="F297" s="17" t="e">
        <f t="shared" si="14"/>
        <v>#NUM!</v>
      </c>
      <c r="G297" s="25">
        <f>$E$4-SUM($E$9:E297)</f>
        <v>0</v>
      </c>
      <c r="H297" s="466">
        <f>+G308</f>
        <v>0</v>
      </c>
      <c r="I297" s="33"/>
    </row>
    <row r="298" spans="1:9" ht="13.5">
      <c r="A298" s="33"/>
      <c r="B298" s="469"/>
      <c r="C298" s="18">
        <v>290</v>
      </c>
      <c r="D298" s="27">
        <f t="shared" si="12"/>
        <v>89774.1771777404</v>
      </c>
      <c r="E298" s="17">
        <f t="shared" si="13"/>
        <v>0</v>
      </c>
      <c r="F298" s="17" t="e">
        <f t="shared" si="14"/>
        <v>#NUM!</v>
      </c>
      <c r="G298" s="25">
        <f>$E$4-SUM($E$9:E298)</f>
        <v>0</v>
      </c>
      <c r="H298" s="467"/>
      <c r="I298" s="33"/>
    </row>
    <row r="299" spans="1:9" ht="13.5">
      <c r="A299" s="33"/>
      <c r="B299" s="469"/>
      <c r="C299" s="18">
        <v>291</v>
      </c>
      <c r="D299" s="27">
        <f t="shared" si="12"/>
        <v>89774.1771777404</v>
      </c>
      <c r="E299" s="17">
        <f t="shared" si="13"/>
        <v>0</v>
      </c>
      <c r="F299" s="17" t="e">
        <f t="shared" si="14"/>
        <v>#NUM!</v>
      </c>
      <c r="G299" s="25">
        <f>$E$4-SUM($E$9:E299)</f>
        <v>0</v>
      </c>
      <c r="H299" s="467"/>
      <c r="I299" s="33"/>
    </row>
    <row r="300" spans="1:9" ht="13.5">
      <c r="A300" s="33"/>
      <c r="B300" s="469"/>
      <c r="C300" s="18">
        <v>292</v>
      </c>
      <c r="D300" s="27">
        <f t="shared" si="12"/>
        <v>89774.1771777404</v>
      </c>
      <c r="E300" s="17">
        <f t="shared" si="13"/>
        <v>0</v>
      </c>
      <c r="F300" s="17" t="e">
        <f t="shared" si="14"/>
        <v>#NUM!</v>
      </c>
      <c r="G300" s="25">
        <f>$E$4-SUM($E$9:E300)</f>
        <v>0</v>
      </c>
      <c r="H300" s="467"/>
      <c r="I300" s="33"/>
    </row>
    <row r="301" spans="1:9" ht="13.5">
      <c r="A301" s="33"/>
      <c r="B301" s="469"/>
      <c r="C301" s="18">
        <v>293</v>
      </c>
      <c r="D301" s="27">
        <f t="shared" si="12"/>
        <v>89774.1771777404</v>
      </c>
      <c r="E301" s="17">
        <f t="shared" si="13"/>
        <v>0</v>
      </c>
      <c r="F301" s="17" t="e">
        <f t="shared" si="14"/>
        <v>#NUM!</v>
      </c>
      <c r="G301" s="25">
        <f>$E$4-SUM($E$9:E301)</f>
        <v>0</v>
      </c>
      <c r="H301" s="467"/>
      <c r="I301" s="33"/>
    </row>
    <row r="302" spans="1:9" ht="13.5">
      <c r="A302" s="33"/>
      <c r="B302" s="469"/>
      <c r="C302" s="18">
        <v>294</v>
      </c>
      <c r="D302" s="27">
        <f t="shared" si="12"/>
        <v>89774.1771777404</v>
      </c>
      <c r="E302" s="17">
        <f t="shared" si="13"/>
        <v>0</v>
      </c>
      <c r="F302" s="17" t="e">
        <f t="shared" si="14"/>
        <v>#NUM!</v>
      </c>
      <c r="G302" s="25">
        <f>$E$4-SUM($E$9:E302)</f>
        <v>0</v>
      </c>
      <c r="H302" s="467"/>
      <c r="I302" s="33"/>
    </row>
    <row r="303" spans="1:9" ht="13.5">
      <c r="A303" s="33"/>
      <c r="B303" s="469"/>
      <c r="C303" s="18">
        <v>295</v>
      </c>
      <c r="D303" s="27">
        <f t="shared" si="12"/>
        <v>89774.1771777404</v>
      </c>
      <c r="E303" s="17">
        <f t="shared" si="13"/>
        <v>0</v>
      </c>
      <c r="F303" s="17" t="e">
        <f t="shared" si="14"/>
        <v>#NUM!</v>
      </c>
      <c r="G303" s="25">
        <f>$E$4-SUM($E$9:E303)</f>
        <v>0</v>
      </c>
      <c r="H303" s="467"/>
      <c r="I303" s="33"/>
    </row>
    <row r="304" spans="1:9" ht="13.5">
      <c r="A304" s="33"/>
      <c r="B304" s="469"/>
      <c r="C304" s="18">
        <v>296</v>
      </c>
      <c r="D304" s="27">
        <f t="shared" si="12"/>
        <v>89774.1771777404</v>
      </c>
      <c r="E304" s="17">
        <f t="shared" si="13"/>
        <v>0</v>
      </c>
      <c r="F304" s="17" t="e">
        <f t="shared" si="14"/>
        <v>#NUM!</v>
      </c>
      <c r="G304" s="25">
        <f>$E$4-SUM($E$9:E304)</f>
        <v>0</v>
      </c>
      <c r="H304" s="467"/>
      <c r="I304" s="33"/>
    </row>
    <row r="305" spans="1:9" ht="13.5">
      <c r="A305" s="33"/>
      <c r="B305" s="469"/>
      <c r="C305" s="18">
        <v>297</v>
      </c>
      <c r="D305" s="27">
        <f t="shared" si="12"/>
        <v>89774.1771777404</v>
      </c>
      <c r="E305" s="17">
        <f t="shared" si="13"/>
        <v>0</v>
      </c>
      <c r="F305" s="17" t="e">
        <f t="shared" si="14"/>
        <v>#NUM!</v>
      </c>
      <c r="G305" s="25">
        <f>$E$4-SUM($E$9:E305)</f>
        <v>0</v>
      </c>
      <c r="H305" s="467"/>
      <c r="I305" s="33"/>
    </row>
    <row r="306" spans="1:9" ht="13.5">
      <c r="A306" s="33"/>
      <c r="B306" s="469"/>
      <c r="C306" s="18">
        <v>298</v>
      </c>
      <c r="D306" s="27">
        <f t="shared" si="12"/>
        <v>89774.1771777404</v>
      </c>
      <c r="E306" s="17">
        <f t="shared" si="13"/>
        <v>0</v>
      </c>
      <c r="F306" s="17" t="e">
        <f t="shared" si="14"/>
        <v>#NUM!</v>
      </c>
      <c r="G306" s="25">
        <f>$E$4-SUM($E$9:E306)</f>
        <v>0</v>
      </c>
      <c r="H306" s="467"/>
      <c r="I306" s="33"/>
    </row>
    <row r="307" spans="1:9" ht="13.5">
      <c r="A307" s="33"/>
      <c r="B307" s="469"/>
      <c r="C307" s="18">
        <v>299</v>
      </c>
      <c r="D307" s="27">
        <f t="shared" si="12"/>
        <v>89774.1771777404</v>
      </c>
      <c r="E307" s="17">
        <f t="shared" si="13"/>
        <v>0</v>
      </c>
      <c r="F307" s="17" t="e">
        <f t="shared" si="14"/>
        <v>#NUM!</v>
      </c>
      <c r="G307" s="25">
        <f>$E$4-SUM($E$9:E307)</f>
        <v>0</v>
      </c>
      <c r="H307" s="467"/>
      <c r="I307" s="33"/>
    </row>
    <row r="308" spans="1:9" ht="14.25" thickBot="1">
      <c r="A308" s="33"/>
      <c r="B308" s="469"/>
      <c r="C308" s="18">
        <v>300</v>
      </c>
      <c r="D308" s="27">
        <f t="shared" si="12"/>
        <v>89774.1771777404</v>
      </c>
      <c r="E308" s="17">
        <f t="shared" si="13"/>
        <v>0</v>
      </c>
      <c r="F308" s="17" t="e">
        <f t="shared" si="14"/>
        <v>#NUM!</v>
      </c>
      <c r="G308" s="25">
        <f>$E$4-SUM($E$9:E308)</f>
        <v>0</v>
      </c>
      <c r="H308" s="468"/>
      <c r="I308" s="33"/>
    </row>
    <row r="309" spans="1:9" ht="13.5">
      <c r="A309" s="33"/>
      <c r="B309" s="33"/>
      <c r="C309" s="33"/>
      <c r="D309" s="33"/>
      <c r="E309" s="33"/>
      <c r="F309" s="33"/>
      <c r="G309" s="33"/>
      <c r="H309" s="33"/>
      <c r="I309" s="33"/>
    </row>
  </sheetData>
  <sheetProtection/>
  <mergeCells count="52">
    <mergeCell ref="B249:B260"/>
    <mergeCell ref="H249:H260"/>
    <mergeCell ref="B201:B212"/>
    <mergeCell ref="H201:H212"/>
    <mergeCell ref="B237:B248"/>
    <mergeCell ref="H237:H248"/>
    <mergeCell ref="B225:B236"/>
    <mergeCell ref="H225:H236"/>
    <mergeCell ref="B213:B224"/>
    <mergeCell ref="H213:H224"/>
    <mergeCell ref="B297:B308"/>
    <mergeCell ref="H297:H308"/>
    <mergeCell ref="B273:B284"/>
    <mergeCell ref="H273:H284"/>
    <mergeCell ref="B285:B296"/>
    <mergeCell ref="H285:H296"/>
    <mergeCell ref="B261:B272"/>
    <mergeCell ref="H261:H272"/>
    <mergeCell ref="B153:B164"/>
    <mergeCell ref="H153:H164"/>
    <mergeCell ref="B189:B200"/>
    <mergeCell ref="H189:H200"/>
    <mergeCell ref="B165:B176"/>
    <mergeCell ref="H165:H176"/>
    <mergeCell ref="B177:B188"/>
    <mergeCell ref="H177:H188"/>
    <mergeCell ref="B141:B152"/>
    <mergeCell ref="H141:H152"/>
    <mergeCell ref="B81:B92"/>
    <mergeCell ref="H81:H92"/>
    <mergeCell ref="B105:B116"/>
    <mergeCell ref="H105:H116"/>
    <mergeCell ref="B117:B128"/>
    <mergeCell ref="H117:H128"/>
    <mergeCell ref="B129:B140"/>
    <mergeCell ref="H129:H140"/>
    <mergeCell ref="B21:B32"/>
    <mergeCell ref="H21:H32"/>
    <mergeCell ref="B33:B44"/>
    <mergeCell ref="H33:H44"/>
    <mergeCell ref="B45:B56"/>
    <mergeCell ref="H45:H56"/>
    <mergeCell ref="B93:B104"/>
    <mergeCell ref="H93:H104"/>
    <mergeCell ref="C3:D4"/>
    <mergeCell ref="C6:D7"/>
    <mergeCell ref="B9:B20"/>
    <mergeCell ref="H9:H20"/>
    <mergeCell ref="B69:B80"/>
    <mergeCell ref="H69:H80"/>
    <mergeCell ref="B57:B68"/>
    <mergeCell ref="H57:H68"/>
  </mergeCells>
  <printOptions/>
  <pageMargins left="0.7" right="0.7" top="0.75" bottom="0.75" header="0.3" footer="0.3"/>
  <pageSetup horizontalDpi="300" verticalDpi="300" orientation="portrait" paperSize="9" scale="80" r:id="rId1"/>
  <rowBreaks count="4" manualBreakCount="4">
    <brk id="68" max="255" man="1"/>
    <brk id="128" max="255" man="1"/>
    <brk id="188" max="255" man="1"/>
    <brk id="248" max="255" man="1"/>
  </rowBreaks>
  <ignoredErrors>
    <ignoredError sqref="G29" evalError="1"/>
  </ignoredErrors>
</worksheet>
</file>

<file path=xl/worksheets/sheet6.xml><?xml version="1.0" encoding="utf-8"?>
<worksheet xmlns="http://schemas.openxmlformats.org/spreadsheetml/2006/main" xmlns:r="http://schemas.openxmlformats.org/officeDocument/2006/relationships">
  <dimension ref="A1:AG65"/>
  <sheetViews>
    <sheetView zoomScalePageLayoutView="0" workbookViewId="0" topLeftCell="N32">
      <selection activeCell="AD35" sqref="AD35:AD61"/>
    </sheetView>
  </sheetViews>
  <sheetFormatPr defaultColWidth="9.140625" defaultRowHeight="15"/>
  <cols>
    <col min="1" max="1" width="2.421875" style="0" customWidth="1"/>
    <col min="2" max="2" width="5.57421875" style="0" customWidth="1"/>
    <col min="3" max="3" width="4.421875" style="0" customWidth="1"/>
    <col min="4" max="5" width="5.57421875" style="0" customWidth="1"/>
    <col min="6" max="6" width="5.57421875" style="68" customWidth="1"/>
    <col min="7" max="9" width="5.57421875" style="0" customWidth="1"/>
    <col min="10" max="10" width="6.8515625" style="0" customWidth="1"/>
    <col min="11" max="11" width="3.57421875" style="0" customWidth="1"/>
    <col min="12" max="12" width="2.421875" style="0" customWidth="1"/>
    <col min="13" max="13" width="4.421875" style="0" customWidth="1"/>
    <col min="14" max="14" width="4.8515625" style="0" customWidth="1"/>
    <col min="15" max="15" width="6.8515625" style="0" customWidth="1"/>
    <col min="16" max="16" width="9.57421875" style="0" customWidth="1"/>
    <col min="17" max="17" width="16.421875" style="0" bestFit="1" customWidth="1"/>
    <col min="18" max="18" width="7.421875" style="0" customWidth="1"/>
    <col min="19" max="19" width="1.7109375" style="0" customWidth="1"/>
  </cols>
  <sheetData>
    <row r="1" spans="1:33" ht="15" thickBot="1" thickTop="1">
      <c r="A1" s="37" t="s">
        <v>170</v>
      </c>
      <c r="B1" s="33"/>
      <c r="C1" s="33"/>
      <c r="D1" s="33"/>
      <c r="E1" s="33"/>
      <c r="F1" s="39"/>
      <c r="G1" s="33"/>
      <c r="H1" s="33"/>
      <c r="I1" s="33"/>
      <c r="J1" s="33"/>
      <c r="K1" s="33"/>
      <c r="L1" s="33"/>
      <c r="M1" s="33"/>
      <c r="N1" s="33"/>
      <c r="O1" s="33"/>
      <c r="P1" s="33"/>
      <c r="Q1" s="83"/>
      <c r="R1" s="33"/>
      <c r="Y1" s="53"/>
      <c r="Z1" s="54"/>
      <c r="AA1" s="473" t="s">
        <v>43</v>
      </c>
      <c r="AB1" s="474"/>
      <c r="AC1" s="473" t="s">
        <v>40</v>
      </c>
      <c r="AD1" s="474"/>
      <c r="AE1" s="473" t="s">
        <v>41</v>
      </c>
      <c r="AF1" s="474"/>
      <c r="AG1" s="55" t="s">
        <v>46</v>
      </c>
    </row>
    <row r="2" spans="1:33" ht="15" thickBot="1" thickTop="1">
      <c r="A2" s="33"/>
      <c r="B2" s="33"/>
      <c r="C2" s="33"/>
      <c r="D2" s="33"/>
      <c r="E2" s="33"/>
      <c r="F2" s="39"/>
      <c r="G2" s="33"/>
      <c r="H2" s="33"/>
      <c r="I2" s="33"/>
      <c r="J2" s="33"/>
      <c r="K2" s="33"/>
      <c r="L2" s="33"/>
      <c r="M2" s="33"/>
      <c r="N2" s="33"/>
      <c r="O2" s="33"/>
      <c r="P2" s="33"/>
      <c r="Q2" s="84"/>
      <c r="R2" s="33"/>
      <c r="Y2" s="56"/>
      <c r="Z2" s="57"/>
      <c r="AA2" s="55" t="s">
        <v>48</v>
      </c>
      <c r="AB2" s="55" t="s">
        <v>218</v>
      </c>
      <c r="AC2" s="66" t="s">
        <v>48</v>
      </c>
      <c r="AD2" s="55" t="s">
        <v>49</v>
      </c>
      <c r="AE2" s="55" t="s">
        <v>48</v>
      </c>
      <c r="AF2" s="55" t="s">
        <v>49</v>
      </c>
      <c r="AG2" s="55" t="s">
        <v>49</v>
      </c>
    </row>
    <row r="3" spans="1:33" ht="15" thickBot="1" thickTop="1">
      <c r="A3" s="33"/>
      <c r="B3" s="33"/>
      <c r="C3" s="33"/>
      <c r="D3" s="33"/>
      <c r="E3" s="46" t="s">
        <v>38</v>
      </c>
      <c r="F3" s="81">
        <f>IF(シート１!M16="子",シート１!M17,"")</f>
        <v>14</v>
      </c>
      <c r="G3" s="47" t="s">
        <v>39</v>
      </c>
      <c r="H3" s="33"/>
      <c r="I3" s="33"/>
      <c r="J3" s="33"/>
      <c r="K3" s="33"/>
      <c r="L3" s="33"/>
      <c r="M3" s="33"/>
      <c r="N3" s="33"/>
      <c r="O3" s="33"/>
      <c r="P3" s="33"/>
      <c r="Q3" s="84"/>
      <c r="R3" s="33"/>
      <c r="Y3" s="58" t="s">
        <v>50</v>
      </c>
      <c r="Z3" s="58">
        <v>24</v>
      </c>
      <c r="AA3" s="7">
        <f>IF($F$3="",0,+F3)</f>
        <v>14</v>
      </c>
      <c r="AB3" s="59">
        <f>VLOOKUP(AA3,$T$8:$W$26,3,1)</f>
        <v>12</v>
      </c>
      <c r="AC3" s="7">
        <f>IF($F$4="",0,+F4)</f>
        <v>0</v>
      </c>
      <c r="AD3" s="59">
        <f>VLOOKUP(AC3,$T$8:$W$27,3,1)</f>
        <v>0</v>
      </c>
      <c r="AE3" s="7">
        <f>IF($F$5="",0,+F5)</f>
        <v>0</v>
      </c>
      <c r="AF3" s="59">
        <f>VLOOKUP(AE3,$T$8:$W$27,3,1)</f>
        <v>0</v>
      </c>
      <c r="AG3" s="59">
        <f>+AB3+AD3+AF3</f>
        <v>12</v>
      </c>
    </row>
    <row r="4" spans="1:33" ht="15" thickBot="1" thickTop="1">
      <c r="A4" s="33"/>
      <c r="B4" s="33"/>
      <c r="C4" s="33"/>
      <c r="D4" s="33"/>
      <c r="E4" s="46" t="s">
        <v>40</v>
      </c>
      <c r="F4" s="62">
        <f>IF(シート１!N16="子",シート１!N17,"")</f>
      </c>
      <c r="G4" s="47" t="s">
        <v>39</v>
      </c>
      <c r="H4" s="33"/>
      <c r="I4" s="33"/>
      <c r="J4" s="33"/>
      <c r="K4" s="33"/>
      <c r="L4" s="33"/>
      <c r="M4" s="33"/>
      <c r="N4" s="33"/>
      <c r="O4" s="33"/>
      <c r="P4" s="33"/>
      <c r="Q4" s="82"/>
      <c r="R4" s="33"/>
      <c r="Y4" s="58" t="s">
        <v>50</v>
      </c>
      <c r="Z4" s="58">
        <v>25</v>
      </c>
      <c r="AA4" s="7">
        <f>IF($F$3="",0,+AA3+1)</f>
        <v>15</v>
      </c>
      <c r="AB4" s="59">
        <f>VLOOKUP(AA4,$T$8:$W$26,3,1)</f>
        <v>46</v>
      </c>
      <c r="AC4" s="67">
        <f>IF($F$4="",0,+AC3+1)</f>
        <v>0</v>
      </c>
      <c r="AD4" s="59">
        <f aca="true" t="shared" si="0" ref="AD4:AD31">VLOOKUP(AC4,$T$8:$W$27,3,1)</f>
        <v>0</v>
      </c>
      <c r="AE4" s="59">
        <f>IF($F$5="",0,+AE3+1)</f>
        <v>0</v>
      </c>
      <c r="AF4" s="59">
        <f aca="true" t="shared" si="1" ref="AF4:AF31">VLOOKUP(AE4,$T$8:$W$27,3,1)</f>
        <v>0</v>
      </c>
      <c r="AG4" s="59">
        <f aca="true" t="shared" si="2" ref="AG4:AG31">+AB4+AD4+AF4</f>
        <v>46</v>
      </c>
    </row>
    <row r="5" spans="1:33" ht="15" thickBot="1" thickTop="1">
      <c r="A5" s="33"/>
      <c r="B5" s="33"/>
      <c r="C5" s="33"/>
      <c r="D5" s="33"/>
      <c r="E5" s="46" t="s">
        <v>41</v>
      </c>
      <c r="F5" s="62">
        <f>IF(シート１!O16="子",シート１!O17,"")</f>
      </c>
      <c r="G5" s="47" t="s">
        <v>39</v>
      </c>
      <c r="H5" s="33"/>
      <c r="I5" s="33"/>
      <c r="J5" s="33"/>
      <c r="K5" s="33"/>
      <c r="L5" s="33"/>
      <c r="M5" s="33"/>
      <c r="N5" s="33"/>
      <c r="O5" s="33"/>
      <c r="P5" s="33"/>
      <c r="Q5" s="33"/>
      <c r="R5" s="33"/>
      <c r="Y5" s="58" t="s">
        <v>50</v>
      </c>
      <c r="Z5" s="58">
        <v>26</v>
      </c>
      <c r="AA5" s="59">
        <f aca="true" t="shared" si="3" ref="AA5:AA31">IF($F$3="",0,+AA4+1)</f>
        <v>16</v>
      </c>
      <c r="AB5" s="59">
        <f>VLOOKUP(AA5,$T$8:$W$26,3,1)</f>
        <v>36</v>
      </c>
      <c r="AC5" s="67">
        <f aca="true" t="shared" si="4" ref="AC5:AC31">IF($F$4="",0,+AC4+1)</f>
        <v>0</v>
      </c>
      <c r="AD5" s="59">
        <f t="shared" si="0"/>
        <v>0</v>
      </c>
      <c r="AE5" s="59">
        <f aca="true" t="shared" si="5" ref="AE5:AE31">IF($F$5="",0,+AE4+1)</f>
        <v>0</v>
      </c>
      <c r="AF5" s="59">
        <f t="shared" si="1"/>
        <v>0</v>
      </c>
      <c r="AG5" s="59">
        <f t="shared" si="2"/>
        <v>36</v>
      </c>
    </row>
    <row r="6" spans="1:33" ht="15" thickBot="1" thickTop="1">
      <c r="A6" s="33"/>
      <c r="B6" s="33" t="s">
        <v>116</v>
      </c>
      <c r="C6" s="33"/>
      <c r="D6" s="33"/>
      <c r="E6" s="33"/>
      <c r="F6" s="63"/>
      <c r="G6" s="33"/>
      <c r="H6" s="33"/>
      <c r="I6" s="33" t="s">
        <v>42</v>
      </c>
      <c r="J6" s="33"/>
      <c r="K6" s="33"/>
      <c r="L6" s="33"/>
      <c r="M6" s="48" t="s">
        <v>117</v>
      </c>
      <c r="N6" s="34"/>
      <c r="O6" s="34"/>
      <c r="P6" s="34"/>
      <c r="Q6" s="33"/>
      <c r="R6" s="33"/>
      <c r="Y6" s="58" t="s">
        <v>50</v>
      </c>
      <c r="Z6" s="58">
        <v>27</v>
      </c>
      <c r="AA6" s="59">
        <f t="shared" si="3"/>
        <v>17</v>
      </c>
      <c r="AB6" s="59">
        <f>VLOOKUP(AA6,$T$8:$W$26,3,1)</f>
        <v>36</v>
      </c>
      <c r="AC6" s="67">
        <f t="shared" si="4"/>
        <v>0</v>
      </c>
      <c r="AD6" s="59">
        <f t="shared" si="0"/>
        <v>0</v>
      </c>
      <c r="AE6" s="59">
        <f t="shared" si="5"/>
        <v>0</v>
      </c>
      <c r="AF6" s="59">
        <f t="shared" si="1"/>
        <v>0</v>
      </c>
      <c r="AG6" s="59">
        <f t="shared" si="2"/>
        <v>36</v>
      </c>
    </row>
    <row r="7" spans="1:33" ht="96" thickBot="1" thickTop="1">
      <c r="A7" s="33"/>
      <c r="B7" s="480"/>
      <c r="C7" s="481"/>
      <c r="D7" s="475" t="s">
        <v>43</v>
      </c>
      <c r="E7" s="476"/>
      <c r="F7" s="475" t="s">
        <v>44</v>
      </c>
      <c r="G7" s="476"/>
      <c r="H7" s="475" t="s">
        <v>45</v>
      </c>
      <c r="I7" s="476"/>
      <c r="J7" s="4" t="s">
        <v>46</v>
      </c>
      <c r="K7" s="86" t="s">
        <v>171</v>
      </c>
      <c r="L7" s="36"/>
      <c r="M7" s="50" t="s">
        <v>47</v>
      </c>
      <c r="N7" s="60" t="s">
        <v>87</v>
      </c>
      <c r="O7" s="60" t="s">
        <v>107</v>
      </c>
      <c r="P7" s="50" t="s">
        <v>104</v>
      </c>
      <c r="Q7" s="50" t="s">
        <v>86</v>
      </c>
      <c r="R7" s="33"/>
      <c r="Y7" s="58" t="s">
        <v>50</v>
      </c>
      <c r="Z7" s="58">
        <v>28</v>
      </c>
      <c r="AA7" s="59">
        <f t="shared" si="3"/>
        <v>18</v>
      </c>
      <c r="AB7" s="59">
        <f>VLOOKUP(AA7,$T$8:$W$26,3,1)</f>
        <v>30</v>
      </c>
      <c r="AC7" s="67">
        <f t="shared" si="4"/>
        <v>0</v>
      </c>
      <c r="AD7" s="59">
        <f t="shared" si="0"/>
        <v>0</v>
      </c>
      <c r="AE7" s="59">
        <f t="shared" si="5"/>
        <v>0</v>
      </c>
      <c r="AF7" s="59">
        <f t="shared" si="1"/>
        <v>0</v>
      </c>
      <c r="AG7" s="59">
        <f t="shared" si="2"/>
        <v>30</v>
      </c>
    </row>
    <row r="8" spans="1:33" ht="15" thickBot="1" thickTop="1">
      <c r="A8" s="33"/>
      <c r="B8" s="482"/>
      <c r="C8" s="483"/>
      <c r="D8" s="4" t="s">
        <v>48</v>
      </c>
      <c r="E8" s="5" t="s">
        <v>49</v>
      </c>
      <c r="F8" s="64" t="s">
        <v>48</v>
      </c>
      <c r="G8" s="5" t="s">
        <v>49</v>
      </c>
      <c r="H8" s="5" t="s">
        <v>48</v>
      </c>
      <c r="I8" s="5" t="s">
        <v>49</v>
      </c>
      <c r="J8" s="4" t="s">
        <v>49</v>
      </c>
      <c r="K8" s="79"/>
      <c r="L8" s="36"/>
      <c r="M8" s="49">
        <v>0</v>
      </c>
      <c r="N8" s="49">
        <v>0</v>
      </c>
      <c r="O8" s="49">
        <v>0</v>
      </c>
      <c r="P8" s="50" t="s">
        <v>103</v>
      </c>
      <c r="Q8" s="51" t="s">
        <v>105</v>
      </c>
      <c r="R8" s="33"/>
      <c r="T8" s="49">
        <v>0</v>
      </c>
      <c r="U8" s="49">
        <v>0</v>
      </c>
      <c r="V8" s="49">
        <v>0</v>
      </c>
      <c r="W8" s="50" t="s">
        <v>103</v>
      </c>
      <c r="Y8" s="58" t="s">
        <v>50</v>
      </c>
      <c r="Z8" s="58">
        <v>29</v>
      </c>
      <c r="AA8" s="59">
        <f t="shared" si="3"/>
        <v>19</v>
      </c>
      <c r="AB8" s="59">
        <f>VLOOKUP(AA8,$T$8:$W$27,3,1)</f>
        <v>0</v>
      </c>
      <c r="AC8" s="67">
        <f t="shared" si="4"/>
        <v>0</v>
      </c>
      <c r="AD8" s="59">
        <f t="shared" si="0"/>
        <v>0</v>
      </c>
      <c r="AE8" s="59">
        <f t="shared" si="5"/>
        <v>0</v>
      </c>
      <c r="AF8" s="59">
        <f t="shared" si="1"/>
        <v>0</v>
      </c>
      <c r="AG8" s="59">
        <f t="shared" si="2"/>
        <v>0</v>
      </c>
    </row>
    <row r="9" spans="1:33" ht="15" thickBot="1" thickTop="1">
      <c r="A9" s="33"/>
      <c r="B9" s="6" t="s">
        <v>50</v>
      </c>
      <c r="C9" s="6">
        <v>24</v>
      </c>
      <c r="D9" s="7">
        <f>IF(F3="",0,F3)</f>
        <v>14</v>
      </c>
      <c r="E9" s="8">
        <f>VLOOKUP(D9,$M$8:$N$31,2,1)</f>
        <v>48</v>
      </c>
      <c r="F9" s="7">
        <f>IF(F4="",0,F4)</f>
        <v>0</v>
      </c>
      <c r="G9" s="8">
        <f>VLOOKUP(F9,$M$8:$N$31,2,1)</f>
        <v>0</v>
      </c>
      <c r="H9" s="7">
        <f>IF(F5="",0,F5)</f>
        <v>0</v>
      </c>
      <c r="I9" s="7">
        <f>VLOOKUP(H9,$M$8:$N$31,2,1)</f>
        <v>0</v>
      </c>
      <c r="J9" s="8">
        <f>+E9+G9+I9</f>
        <v>48</v>
      </c>
      <c r="K9" s="87">
        <f aca="true" t="shared" si="6" ref="K9:K28">J9-J37</f>
        <v>36</v>
      </c>
      <c r="L9" s="35"/>
      <c r="M9" s="49">
        <v>1</v>
      </c>
      <c r="N9" s="49">
        <v>0</v>
      </c>
      <c r="O9" s="49">
        <v>12</v>
      </c>
      <c r="P9" s="50" t="s">
        <v>103</v>
      </c>
      <c r="Q9" s="51" t="s">
        <v>68</v>
      </c>
      <c r="R9" s="33"/>
      <c r="T9" s="49">
        <v>1</v>
      </c>
      <c r="U9" s="49">
        <v>0</v>
      </c>
      <c r="V9" s="49">
        <v>12</v>
      </c>
      <c r="W9" s="50" t="s">
        <v>103</v>
      </c>
      <c r="Y9" s="58" t="s">
        <v>50</v>
      </c>
      <c r="Z9" s="58">
        <v>30</v>
      </c>
      <c r="AA9" s="59">
        <f t="shared" si="3"/>
        <v>20</v>
      </c>
      <c r="AB9" s="59">
        <f>VLOOKUP(AA9,$T$8:$W$27,3,1)</f>
        <v>0</v>
      </c>
      <c r="AC9" s="67">
        <f t="shared" si="4"/>
        <v>0</v>
      </c>
      <c r="AD9" s="59">
        <f t="shared" si="0"/>
        <v>0</v>
      </c>
      <c r="AE9" s="59">
        <f t="shared" si="5"/>
        <v>0</v>
      </c>
      <c r="AF9" s="59">
        <f t="shared" si="1"/>
        <v>0</v>
      </c>
      <c r="AG9" s="59">
        <f t="shared" si="2"/>
        <v>0</v>
      </c>
    </row>
    <row r="10" spans="1:33" ht="15" thickBot="1" thickTop="1">
      <c r="A10" s="33"/>
      <c r="B10" s="6" t="s">
        <v>50</v>
      </c>
      <c r="C10" s="6">
        <v>25</v>
      </c>
      <c r="D10" s="7">
        <f>IF($F$3="",0,+D9+1)</f>
        <v>15</v>
      </c>
      <c r="E10" s="8">
        <f aca="true" t="shared" si="7" ref="E10:E28">VLOOKUP(D10,$M$8:$N$31,2,1)</f>
        <v>52</v>
      </c>
      <c r="F10" s="65">
        <f>IF($F$4="",0,+F9+1)</f>
        <v>0</v>
      </c>
      <c r="G10" s="8">
        <f aca="true" t="shared" si="8" ref="G10:G28">VLOOKUP(F10,$M$8:$N$31,2,1)</f>
        <v>0</v>
      </c>
      <c r="H10" s="7">
        <f>IF($F$5="",0,+H9+1)</f>
        <v>0</v>
      </c>
      <c r="I10" s="8">
        <f aca="true" t="shared" si="9" ref="I10:I28">VLOOKUP(H10,$M$8:$N$31,2,1)</f>
        <v>0</v>
      </c>
      <c r="J10" s="8">
        <f aca="true" t="shared" si="10" ref="J10:J28">+E10+G10+I10</f>
        <v>52</v>
      </c>
      <c r="K10" s="87">
        <f t="shared" si="6"/>
        <v>6</v>
      </c>
      <c r="L10" s="35"/>
      <c r="M10" s="49">
        <v>2</v>
      </c>
      <c r="N10" s="49">
        <v>0</v>
      </c>
      <c r="O10" s="49">
        <v>12</v>
      </c>
      <c r="P10" s="50" t="s">
        <v>103</v>
      </c>
      <c r="Q10" s="51" t="s">
        <v>69</v>
      </c>
      <c r="R10" s="33"/>
      <c r="T10" s="49">
        <v>2</v>
      </c>
      <c r="U10" s="49">
        <v>0</v>
      </c>
      <c r="V10" s="49">
        <v>12</v>
      </c>
      <c r="W10" s="50" t="s">
        <v>103</v>
      </c>
      <c r="Y10" s="58" t="s">
        <v>50</v>
      </c>
      <c r="Z10" s="58">
        <v>31</v>
      </c>
      <c r="AA10" s="59">
        <f t="shared" si="3"/>
        <v>21</v>
      </c>
      <c r="AB10" s="59">
        <f>VLOOKUP(AA10,$T$8:$W$27,3,1)</f>
        <v>0</v>
      </c>
      <c r="AC10" s="67">
        <f t="shared" si="4"/>
        <v>0</v>
      </c>
      <c r="AD10" s="59">
        <f t="shared" si="0"/>
        <v>0</v>
      </c>
      <c r="AE10" s="59">
        <f t="shared" si="5"/>
        <v>0</v>
      </c>
      <c r="AF10" s="59">
        <f t="shared" si="1"/>
        <v>0</v>
      </c>
      <c r="AG10" s="59">
        <f t="shared" si="2"/>
        <v>0</v>
      </c>
    </row>
    <row r="11" spans="1:33" ht="15" thickBot="1" thickTop="1">
      <c r="A11" s="33"/>
      <c r="B11" s="6" t="s">
        <v>50</v>
      </c>
      <c r="C11" s="6">
        <v>26</v>
      </c>
      <c r="D11" s="7">
        <f aca="true" t="shared" si="11" ref="D11:D33">IF($F$3="",0,+D10+1)</f>
        <v>16</v>
      </c>
      <c r="E11" s="8">
        <f t="shared" si="7"/>
        <v>52</v>
      </c>
      <c r="F11" s="65">
        <f aca="true" t="shared" si="12" ref="F11:F33">IF($F$4="",0,+F10+1)</f>
        <v>0</v>
      </c>
      <c r="G11" s="8">
        <f t="shared" si="8"/>
        <v>0</v>
      </c>
      <c r="H11" s="7">
        <f aca="true" t="shared" si="13" ref="H11:H33">IF($F$5="",0,+H10+1)</f>
        <v>0</v>
      </c>
      <c r="I11" s="8">
        <f t="shared" si="9"/>
        <v>0</v>
      </c>
      <c r="J11" s="8">
        <f t="shared" si="10"/>
        <v>52</v>
      </c>
      <c r="K11" s="87">
        <f t="shared" si="6"/>
        <v>16</v>
      </c>
      <c r="L11" s="35"/>
      <c r="M11" s="49">
        <v>3</v>
      </c>
      <c r="N11" s="49">
        <v>23</v>
      </c>
      <c r="O11" s="49">
        <v>12</v>
      </c>
      <c r="P11" s="50" t="s">
        <v>100</v>
      </c>
      <c r="Q11" s="51" t="s">
        <v>67</v>
      </c>
      <c r="R11" s="33"/>
      <c r="T11" s="49">
        <v>3</v>
      </c>
      <c r="U11" s="49">
        <v>23</v>
      </c>
      <c r="V11" s="49">
        <v>12</v>
      </c>
      <c r="W11" s="50" t="s">
        <v>100</v>
      </c>
      <c r="Y11" s="58" t="s">
        <v>50</v>
      </c>
      <c r="Z11" s="58">
        <v>32</v>
      </c>
      <c r="AA11" s="59">
        <f t="shared" si="3"/>
        <v>22</v>
      </c>
      <c r="AB11" s="59">
        <f>VLOOKUP(AA11,$T$8:$W$27,3,1)</f>
        <v>0</v>
      </c>
      <c r="AC11" s="67">
        <f t="shared" si="4"/>
        <v>0</v>
      </c>
      <c r="AD11" s="59">
        <f t="shared" si="0"/>
        <v>0</v>
      </c>
      <c r="AE11" s="59">
        <f t="shared" si="5"/>
        <v>0</v>
      </c>
      <c r="AF11" s="59">
        <f t="shared" si="1"/>
        <v>0</v>
      </c>
      <c r="AG11" s="59">
        <f t="shared" si="2"/>
        <v>0</v>
      </c>
    </row>
    <row r="12" spans="1:33" ht="15" thickBot="1" thickTop="1">
      <c r="A12" s="33"/>
      <c r="B12" s="6" t="s">
        <v>50</v>
      </c>
      <c r="C12" s="6">
        <v>27</v>
      </c>
      <c r="D12" s="7">
        <f t="shared" si="11"/>
        <v>17</v>
      </c>
      <c r="E12" s="8">
        <f t="shared" si="7"/>
        <v>52</v>
      </c>
      <c r="F12" s="65">
        <f t="shared" si="12"/>
        <v>0</v>
      </c>
      <c r="G12" s="8">
        <f t="shared" si="8"/>
        <v>0</v>
      </c>
      <c r="H12" s="7">
        <f t="shared" si="13"/>
        <v>0</v>
      </c>
      <c r="I12" s="8">
        <f t="shared" si="9"/>
        <v>0</v>
      </c>
      <c r="J12" s="8">
        <f t="shared" si="10"/>
        <v>52</v>
      </c>
      <c r="K12" s="87">
        <f t="shared" si="6"/>
        <v>16</v>
      </c>
      <c r="L12" s="35"/>
      <c r="M12" s="49">
        <v>4</v>
      </c>
      <c r="N12" s="49">
        <v>23</v>
      </c>
      <c r="O12" s="49">
        <v>12</v>
      </c>
      <c r="P12" s="50" t="s">
        <v>101</v>
      </c>
      <c r="Q12" s="51" t="s">
        <v>70</v>
      </c>
      <c r="R12" s="33"/>
      <c r="T12" s="49">
        <v>4</v>
      </c>
      <c r="U12" s="49">
        <v>23</v>
      </c>
      <c r="V12" s="49">
        <v>12</v>
      </c>
      <c r="W12" s="50" t="s">
        <v>101</v>
      </c>
      <c r="Y12" s="58" t="s">
        <v>50</v>
      </c>
      <c r="Z12" s="58">
        <v>33</v>
      </c>
      <c r="AA12" s="59">
        <f t="shared" si="3"/>
        <v>23</v>
      </c>
      <c r="AB12" s="59">
        <f aca="true" t="shared" si="14" ref="AB12:AB31">VLOOKUP(AA12,$T$8:$W$27,3,1)</f>
        <v>0</v>
      </c>
      <c r="AC12" s="67">
        <f t="shared" si="4"/>
        <v>0</v>
      </c>
      <c r="AD12" s="59">
        <f t="shared" si="0"/>
        <v>0</v>
      </c>
      <c r="AE12" s="59">
        <f t="shared" si="5"/>
        <v>0</v>
      </c>
      <c r="AF12" s="59">
        <f t="shared" si="1"/>
        <v>0</v>
      </c>
      <c r="AG12" s="59">
        <f t="shared" si="2"/>
        <v>0</v>
      </c>
    </row>
    <row r="13" spans="1:33" ht="15" thickBot="1" thickTop="1">
      <c r="A13" s="33"/>
      <c r="B13" s="6" t="s">
        <v>50</v>
      </c>
      <c r="C13" s="6">
        <v>28</v>
      </c>
      <c r="D13" s="7">
        <f t="shared" si="11"/>
        <v>18</v>
      </c>
      <c r="E13" s="8">
        <f t="shared" si="7"/>
        <v>82</v>
      </c>
      <c r="F13" s="65">
        <f t="shared" si="12"/>
        <v>0</v>
      </c>
      <c r="G13" s="8">
        <f t="shared" si="8"/>
        <v>0</v>
      </c>
      <c r="H13" s="7">
        <f t="shared" si="13"/>
        <v>0</v>
      </c>
      <c r="I13" s="8">
        <f t="shared" si="9"/>
        <v>0</v>
      </c>
      <c r="J13" s="8">
        <f t="shared" si="10"/>
        <v>82</v>
      </c>
      <c r="K13" s="87">
        <f t="shared" si="6"/>
        <v>-8</v>
      </c>
      <c r="L13" s="35"/>
      <c r="M13" s="49">
        <v>5</v>
      </c>
      <c r="N13" s="49">
        <v>23</v>
      </c>
      <c r="O13" s="49">
        <v>12</v>
      </c>
      <c r="P13" s="50" t="s">
        <v>102</v>
      </c>
      <c r="Q13" s="51" t="s">
        <v>72</v>
      </c>
      <c r="R13" s="33"/>
      <c r="T13" s="49">
        <v>5</v>
      </c>
      <c r="U13" s="49">
        <v>23</v>
      </c>
      <c r="V13" s="49">
        <v>12</v>
      </c>
      <c r="W13" s="50" t="s">
        <v>102</v>
      </c>
      <c r="Y13" s="58" t="s">
        <v>50</v>
      </c>
      <c r="Z13" s="58">
        <v>34</v>
      </c>
      <c r="AA13" s="59">
        <f t="shared" si="3"/>
        <v>24</v>
      </c>
      <c r="AB13" s="59">
        <f t="shared" si="14"/>
        <v>0</v>
      </c>
      <c r="AC13" s="67">
        <f t="shared" si="4"/>
        <v>0</v>
      </c>
      <c r="AD13" s="59">
        <f t="shared" si="0"/>
        <v>0</v>
      </c>
      <c r="AE13" s="59">
        <f t="shared" si="5"/>
        <v>0</v>
      </c>
      <c r="AF13" s="59">
        <f t="shared" si="1"/>
        <v>0</v>
      </c>
      <c r="AG13" s="59">
        <f t="shared" si="2"/>
        <v>0</v>
      </c>
    </row>
    <row r="14" spans="1:33" ht="15" thickBot="1" thickTop="1">
      <c r="A14" s="33"/>
      <c r="B14" s="6" t="s">
        <v>50</v>
      </c>
      <c r="C14" s="6">
        <v>29</v>
      </c>
      <c r="D14" s="7">
        <f t="shared" si="11"/>
        <v>19</v>
      </c>
      <c r="E14" s="8">
        <f t="shared" si="7"/>
        <v>54</v>
      </c>
      <c r="F14" s="65">
        <f t="shared" si="12"/>
        <v>0</v>
      </c>
      <c r="G14" s="8">
        <f t="shared" si="8"/>
        <v>0</v>
      </c>
      <c r="H14" s="7">
        <f t="shared" si="13"/>
        <v>0</v>
      </c>
      <c r="I14" s="8">
        <f t="shared" si="9"/>
        <v>0</v>
      </c>
      <c r="J14" s="8">
        <f t="shared" si="10"/>
        <v>54</v>
      </c>
      <c r="K14" s="87">
        <f t="shared" si="6"/>
        <v>-6</v>
      </c>
      <c r="L14" s="35"/>
      <c r="M14" s="49">
        <v>6</v>
      </c>
      <c r="N14" s="49">
        <v>31</v>
      </c>
      <c r="O14" s="49">
        <v>12</v>
      </c>
      <c r="P14" s="50" t="s">
        <v>88</v>
      </c>
      <c r="Q14" s="51" t="s">
        <v>71</v>
      </c>
      <c r="R14" s="33"/>
      <c r="T14" s="49">
        <v>6</v>
      </c>
      <c r="U14" s="49">
        <v>31</v>
      </c>
      <c r="V14" s="49">
        <v>12</v>
      </c>
      <c r="W14" s="50" t="s">
        <v>88</v>
      </c>
      <c r="Y14" s="58" t="s">
        <v>50</v>
      </c>
      <c r="Z14" s="58">
        <v>35</v>
      </c>
      <c r="AA14" s="59">
        <f t="shared" si="3"/>
        <v>25</v>
      </c>
      <c r="AB14" s="59">
        <f t="shared" si="14"/>
        <v>0</v>
      </c>
      <c r="AC14" s="67">
        <f t="shared" si="4"/>
        <v>0</v>
      </c>
      <c r="AD14" s="59">
        <f t="shared" si="0"/>
        <v>0</v>
      </c>
      <c r="AE14" s="59">
        <f t="shared" si="5"/>
        <v>0</v>
      </c>
      <c r="AF14" s="59">
        <f t="shared" si="1"/>
        <v>0</v>
      </c>
      <c r="AG14" s="59">
        <f t="shared" si="2"/>
        <v>0</v>
      </c>
    </row>
    <row r="15" spans="1:33" ht="15" thickBot="1" thickTop="1">
      <c r="A15" s="33"/>
      <c r="B15" s="6" t="s">
        <v>50</v>
      </c>
      <c r="C15" s="6">
        <v>30</v>
      </c>
      <c r="D15" s="7">
        <f t="shared" si="11"/>
        <v>20</v>
      </c>
      <c r="E15" s="8">
        <f t="shared" si="7"/>
        <v>54</v>
      </c>
      <c r="F15" s="65">
        <f t="shared" si="12"/>
        <v>0</v>
      </c>
      <c r="G15" s="8">
        <f t="shared" si="8"/>
        <v>0</v>
      </c>
      <c r="H15" s="7">
        <f t="shared" si="13"/>
        <v>0</v>
      </c>
      <c r="I15" s="8">
        <f t="shared" si="9"/>
        <v>0</v>
      </c>
      <c r="J15" s="8">
        <f t="shared" si="10"/>
        <v>54</v>
      </c>
      <c r="K15" s="87">
        <f t="shared" si="6"/>
        <v>-6</v>
      </c>
      <c r="L15" s="35"/>
      <c r="M15" s="49">
        <v>7</v>
      </c>
      <c r="N15" s="49">
        <v>31</v>
      </c>
      <c r="O15" s="49">
        <v>12</v>
      </c>
      <c r="P15" s="50" t="s">
        <v>89</v>
      </c>
      <c r="Q15" s="51" t="s">
        <v>73</v>
      </c>
      <c r="R15" s="33"/>
      <c r="T15" s="49">
        <v>7</v>
      </c>
      <c r="U15" s="49">
        <v>31</v>
      </c>
      <c r="V15" s="49">
        <v>12</v>
      </c>
      <c r="W15" s="50" t="s">
        <v>89</v>
      </c>
      <c r="Y15" s="58" t="s">
        <v>50</v>
      </c>
      <c r="Z15" s="58">
        <v>36</v>
      </c>
      <c r="AA15" s="59">
        <f t="shared" si="3"/>
        <v>26</v>
      </c>
      <c r="AB15" s="59">
        <f t="shared" si="14"/>
        <v>0</v>
      </c>
      <c r="AC15" s="67">
        <f t="shared" si="4"/>
        <v>0</v>
      </c>
      <c r="AD15" s="59">
        <f t="shared" si="0"/>
        <v>0</v>
      </c>
      <c r="AE15" s="59">
        <f t="shared" si="5"/>
        <v>0</v>
      </c>
      <c r="AF15" s="59">
        <f t="shared" si="1"/>
        <v>0</v>
      </c>
      <c r="AG15" s="59">
        <f t="shared" si="2"/>
        <v>0</v>
      </c>
    </row>
    <row r="16" spans="1:33" ht="15" thickBot="1" thickTop="1">
      <c r="A16" s="33"/>
      <c r="B16" s="6" t="s">
        <v>50</v>
      </c>
      <c r="C16" s="6">
        <v>31</v>
      </c>
      <c r="D16" s="7">
        <f t="shared" si="11"/>
        <v>21</v>
      </c>
      <c r="E16" s="8">
        <f t="shared" si="7"/>
        <v>54</v>
      </c>
      <c r="F16" s="65">
        <f t="shared" si="12"/>
        <v>0</v>
      </c>
      <c r="G16" s="8">
        <f t="shared" si="8"/>
        <v>0</v>
      </c>
      <c r="H16" s="7">
        <f t="shared" si="13"/>
        <v>0</v>
      </c>
      <c r="I16" s="8">
        <f t="shared" si="9"/>
        <v>0</v>
      </c>
      <c r="J16" s="8">
        <f t="shared" si="10"/>
        <v>54</v>
      </c>
      <c r="K16" s="87">
        <f t="shared" si="6"/>
        <v>-6</v>
      </c>
      <c r="L16" s="35"/>
      <c r="M16" s="49">
        <v>8</v>
      </c>
      <c r="N16" s="49">
        <v>31</v>
      </c>
      <c r="O16" s="49">
        <v>12</v>
      </c>
      <c r="P16" s="50" t="s">
        <v>90</v>
      </c>
      <c r="Q16" s="51" t="s">
        <v>74</v>
      </c>
      <c r="R16" s="33"/>
      <c r="T16" s="49">
        <v>8</v>
      </c>
      <c r="U16" s="49">
        <v>31</v>
      </c>
      <c r="V16" s="49">
        <v>12</v>
      </c>
      <c r="W16" s="50" t="s">
        <v>90</v>
      </c>
      <c r="Y16" s="58" t="s">
        <v>50</v>
      </c>
      <c r="Z16" s="58">
        <v>37</v>
      </c>
      <c r="AA16" s="59">
        <f t="shared" si="3"/>
        <v>27</v>
      </c>
      <c r="AB16" s="59">
        <f t="shared" si="14"/>
        <v>0</v>
      </c>
      <c r="AC16" s="67">
        <f t="shared" si="4"/>
        <v>0</v>
      </c>
      <c r="AD16" s="59">
        <f t="shared" si="0"/>
        <v>0</v>
      </c>
      <c r="AE16" s="59">
        <f t="shared" si="5"/>
        <v>0</v>
      </c>
      <c r="AF16" s="59">
        <f t="shared" si="1"/>
        <v>0</v>
      </c>
      <c r="AG16" s="59">
        <f t="shared" si="2"/>
        <v>0</v>
      </c>
    </row>
    <row r="17" spans="1:33" ht="15" thickBot="1" thickTop="1">
      <c r="A17" s="33"/>
      <c r="B17" s="6" t="s">
        <v>50</v>
      </c>
      <c r="C17" s="6">
        <v>32</v>
      </c>
      <c r="D17" s="7">
        <f t="shared" si="11"/>
        <v>22</v>
      </c>
      <c r="E17" s="8">
        <f t="shared" si="7"/>
        <v>0</v>
      </c>
      <c r="F17" s="65">
        <f t="shared" si="12"/>
        <v>0</v>
      </c>
      <c r="G17" s="8">
        <f t="shared" si="8"/>
        <v>0</v>
      </c>
      <c r="H17" s="7">
        <f t="shared" si="13"/>
        <v>0</v>
      </c>
      <c r="I17" s="8">
        <f t="shared" si="9"/>
        <v>0</v>
      </c>
      <c r="J17" s="8">
        <f t="shared" si="10"/>
        <v>0</v>
      </c>
      <c r="K17" s="87">
        <f t="shared" si="6"/>
        <v>0</v>
      </c>
      <c r="L17" s="35"/>
      <c r="M17" s="49">
        <v>9</v>
      </c>
      <c r="N17" s="49">
        <v>31</v>
      </c>
      <c r="O17" s="49">
        <v>12</v>
      </c>
      <c r="P17" s="50" t="s">
        <v>91</v>
      </c>
      <c r="Q17" s="51" t="s">
        <v>75</v>
      </c>
      <c r="R17" s="33"/>
      <c r="T17" s="49">
        <v>9</v>
      </c>
      <c r="U17" s="49">
        <v>31</v>
      </c>
      <c r="V17" s="49">
        <v>12</v>
      </c>
      <c r="W17" s="50" t="s">
        <v>91</v>
      </c>
      <c r="Y17" s="58" t="s">
        <v>50</v>
      </c>
      <c r="Z17" s="58">
        <v>38</v>
      </c>
      <c r="AA17" s="59">
        <f t="shared" si="3"/>
        <v>28</v>
      </c>
      <c r="AB17" s="59">
        <f t="shared" si="14"/>
        <v>0</v>
      </c>
      <c r="AC17" s="67">
        <f t="shared" si="4"/>
        <v>0</v>
      </c>
      <c r="AD17" s="59">
        <f t="shared" si="0"/>
        <v>0</v>
      </c>
      <c r="AE17" s="59">
        <f t="shared" si="5"/>
        <v>0</v>
      </c>
      <c r="AF17" s="59">
        <f t="shared" si="1"/>
        <v>0</v>
      </c>
      <c r="AG17" s="59">
        <f t="shared" si="2"/>
        <v>0</v>
      </c>
    </row>
    <row r="18" spans="1:33" ht="15" thickBot="1" thickTop="1">
      <c r="A18" s="33"/>
      <c r="B18" s="6" t="s">
        <v>50</v>
      </c>
      <c r="C18" s="6">
        <v>33</v>
      </c>
      <c r="D18" s="7">
        <f t="shared" si="11"/>
        <v>23</v>
      </c>
      <c r="E18" s="8">
        <f t="shared" si="7"/>
        <v>0</v>
      </c>
      <c r="F18" s="65">
        <f t="shared" si="12"/>
        <v>0</v>
      </c>
      <c r="G18" s="8">
        <f t="shared" si="8"/>
        <v>0</v>
      </c>
      <c r="H18" s="7">
        <f t="shared" si="13"/>
        <v>0</v>
      </c>
      <c r="I18" s="8">
        <f t="shared" si="9"/>
        <v>0</v>
      </c>
      <c r="J18" s="8">
        <f t="shared" si="10"/>
        <v>0</v>
      </c>
      <c r="K18" s="87">
        <f t="shared" si="6"/>
        <v>0</v>
      </c>
      <c r="L18" s="35"/>
      <c r="M18" s="49">
        <v>10</v>
      </c>
      <c r="N18" s="49">
        <v>31</v>
      </c>
      <c r="O18" s="49">
        <v>12</v>
      </c>
      <c r="P18" s="50" t="s">
        <v>92</v>
      </c>
      <c r="Q18" s="51" t="s">
        <v>76</v>
      </c>
      <c r="R18" s="33"/>
      <c r="T18" s="49">
        <v>10</v>
      </c>
      <c r="U18" s="49">
        <v>31</v>
      </c>
      <c r="V18" s="49">
        <v>12</v>
      </c>
      <c r="W18" s="50" t="s">
        <v>92</v>
      </c>
      <c r="Y18" s="58" t="s">
        <v>50</v>
      </c>
      <c r="Z18" s="58">
        <v>39</v>
      </c>
      <c r="AA18" s="59">
        <f t="shared" si="3"/>
        <v>29</v>
      </c>
      <c r="AB18" s="59">
        <f t="shared" si="14"/>
        <v>0</v>
      </c>
      <c r="AC18" s="67">
        <f t="shared" si="4"/>
        <v>0</v>
      </c>
      <c r="AD18" s="59">
        <f t="shared" si="0"/>
        <v>0</v>
      </c>
      <c r="AE18" s="59">
        <f t="shared" si="5"/>
        <v>0</v>
      </c>
      <c r="AF18" s="59">
        <f t="shared" si="1"/>
        <v>0</v>
      </c>
      <c r="AG18" s="59">
        <f t="shared" si="2"/>
        <v>0</v>
      </c>
    </row>
    <row r="19" spans="1:33" ht="15" thickBot="1" thickTop="1">
      <c r="A19" s="33"/>
      <c r="B19" s="6" t="s">
        <v>50</v>
      </c>
      <c r="C19" s="6">
        <v>34</v>
      </c>
      <c r="D19" s="7">
        <f t="shared" si="11"/>
        <v>24</v>
      </c>
      <c r="E19" s="8">
        <f t="shared" si="7"/>
        <v>0</v>
      </c>
      <c r="F19" s="65">
        <f t="shared" si="12"/>
        <v>0</v>
      </c>
      <c r="G19" s="8">
        <f t="shared" si="8"/>
        <v>0</v>
      </c>
      <c r="H19" s="7">
        <f t="shared" si="13"/>
        <v>0</v>
      </c>
      <c r="I19" s="8">
        <f t="shared" si="9"/>
        <v>0</v>
      </c>
      <c r="J19" s="8">
        <f t="shared" si="10"/>
        <v>0</v>
      </c>
      <c r="K19" s="87">
        <f t="shared" si="6"/>
        <v>0</v>
      </c>
      <c r="L19" s="35"/>
      <c r="M19" s="49">
        <v>11</v>
      </c>
      <c r="N19" s="49">
        <v>31</v>
      </c>
      <c r="O19" s="49">
        <v>12</v>
      </c>
      <c r="P19" s="50" t="s">
        <v>93</v>
      </c>
      <c r="Q19" s="51" t="s">
        <v>77</v>
      </c>
      <c r="R19" s="33"/>
      <c r="T19" s="49">
        <v>11</v>
      </c>
      <c r="U19" s="49">
        <v>31</v>
      </c>
      <c r="V19" s="49">
        <v>12</v>
      </c>
      <c r="W19" s="50" t="s">
        <v>93</v>
      </c>
      <c r="Y19" s="58" t="s">
        <v>50</v>
      </c>
      <c r="Z19" s="58">
        <v>40</v>
      </c>
      <c r="AA19" s="59">
        <f t="shared" si="3"/>
        <v>30</v>
      </c>
      <c r="AB19" s="59">
        <f t="shared" si="14"/>
        <v>0</v>
      </c>
      <c r="AC19" s="67">
        <f t="shared" si="4"/>
        <v>0</v>
      </c>
      <c r="AD19" s="59">
        <f t="shared" si="0"/>
        <v>0</v>
      </c>
      <c r="AE19" s="59">
        <f t="shared" si="5"/>
        <v>0</v>
      </c>
      <c r="AF19" s="59">
        <f t="shared" si="1"/>
        <v>0</v>
      </c>
      <c r="AG19" s="59">
        <f t="shared" si="2"/>
        <v>0</v>
      </c>
    </row>
    <row r="20" spans="1:33" ht="15" thickBot="1" thickTop="1">
      <c r="A20" s="33"/>
      <c r="B20" s="6" t="s">
        <v>50</v>
      </c>
      <c r="C20" s="6">
        <v>35</v>
      </c>
      <c r="D20" s="7">
        <f t="shared" si="11"/>
        <v>25</v>
      </c>
      <c r="E20" s="8">
        <f t="shared" si="7"/>
        <v>0</v>
      </c>
      <c r="F20" s="65">
        <f t="shared" si="12"/>
        <v>0</v>
      </c>
      <c r="G20" s="8">
        <f t="shared" si="8"/>
        <v>0</v>
      </c>
      <c r="H20" s="7">
        <f t="shared" si="13"/>
        <v>0</v>
      </c>
      <c r="I20" s="8">
        <f t="shared" si="9"/>
        <v>0</v>
      </c>
      <c r="J20" s="8">
        <f t="shared" si="10"/>
        <v>0</v>
      </c>
      <c r="K20" s="87">
        <f t="shared" si="6"/>
        <v>0</v>
      </c>
      <c r="L20" s="35"/>
      <c r="M20" s="49">
        <v>12</v>
      </c>
      <c r="N20" s="49">
        <v>48</v>
      </c>
      <c r="O20" s="49">
        <v>17</v>
      </c>
      <c r="P20" s="50" t="s">
        <v>94</v>
      </c>
      <c r="Q20" s="51" t="s">
        <v>78</v>
      </c>
      <c r="R20" s="33"/>
      <c r="T20" s="49">
        <v>12</v>
      </c>
      <c r="U20" s="49">
        <v>48</v>
      </c>
      <c r="V20" s="49">
        <v>17</v>
      </c>
      <c r="W20" s="50" t="s">
        <v>94</v>
      </c>
      <c r="Y20" s="58" t="s">
        <v>50</v>
      </c>
      <c r="Z20" s="58">
        <v>41</v>
      </c>
      <c r="AA20" s="59">
        <f t="shared" si="3"/>
        <v>31</v>
      </c>
      <c r="AB20" s="59">
        <f t="shared" si="14"/>
        <v>0</v>
      </c>
      <c r="AC20" s="67">
        <f t="shared" si="4"/>
        <v>0</v>
      </c>
      <c r="AD20" s="59">
        <f t="shared" si="0"/>
        <v>0</v>
      </c>
      <c r="AE20" s="59">
        <f t="shared" si="5"/>
        <v>0</v>
      </c>
      <c r="AF20" s="59">
        <f t="shared" si="1"/>
        <v>0</v>
      </c>
      <c r="AG20" s="59">
        <f t="shared" si="2"/>
        <v>0</v>
      </c>
    </row>
    <row r="21" spans="1:33" ht="15" thickBot="1" thickTop="1">
      <c r="A21" s="33"/>
      <c r="B21" s="6" t="s">
        <v>50</v>
      </c>
      <c r="C21" s="6">
        <v>36</v>
      </c>
      <c r="D21" s="7">
        <f t="shared" si="11"/>
        <v>26</v>
      </c>
      <c r="E21" s="8">
        <f t="shared" si="7"/>
        <v>0</v>
      </c>
      <c r="F21" s="65">
        <f t="shared" si="12"/>
        <v>0</v>
      </c>
      <c r="G21" s="8">
        <f t="shared" si="8"/>
        <v>0</v>
      </c>
      <c r="H21" s="7">
        <f t="shared" si="13"/>
        <v>0</v>
      </c>
      <c r="I21" s="8">
        <f t="shared" si="9"/>
        <v>0</v>
      </c>
      <c r="J21" s="8">
        <f t="shared" si="10"/>
        <v>0</v>
      </c>
      <c r="K21" s="87">
        <f t="shared" si="6"/>
        <v>0</v>
      </c>
      <c r="L21" s="35"/>
      <c r="M21" s="49">
        <v>13</v>
      </c>
      <c r="N21" s="49">
        <v>48</v>
      </c>
      <c r="O21" s="49">
        <v>12</v>
      </c>
      <c r="P21" s="50" t="s">
        <v>95</v>
      </c>
      <c r="Q21" s="51" t="s">
        <v>79</v>
      </c>
      <c r="R21" s="33"/>
      <c r="T21" s="49">
        <v>13</v>
      </c>
      <c r="U21" s="49">
        <v>48</v>
      </c>
      <c r="V21" s="49">
        <v>12</v>
      </c>
      <c r="W21" s="50" t="s">
        <v>95</v>
      </c>
      <c r="Y21" s="58" t="s">
        <v>50</v>
      </c>
      <c r="Z21" s="58">
        <v>42</v>
      </c>
      <c r="AA21" s="59">
        <f t="shared" si="3"/>
        <v>32</v>
      </c>
      <c r="AB21" s="59">
        <f t="shared" si="14"/>
        <v>0</v>
      </c>
      <c r="AC21" s="67">
        <f t="shared" si="4"/>
        <v>0</v>
      </c>
      <c r="AD21" s="59">
        <f t="shared" si="0"/>
        <v>0</v>
      </c>
      <c r="AE21" s="59">
        <f t="shared" si="5"/>
        <v>0</v>
      </c>
      <c r="AF21" s="59">
        <f t="shared" si="1"/>
        <v>0</v>
      </c>
      <c r="AG21" s="59">
        <f t="shared" si="2"/>
        <v>0</v>
      </c>
    </row>
    <row r="22" spans="1:33" ht="15" thickBot="1" thickTop="1">
      <c r="A22" s="33"/>
      <c r="B22" s="6" t="s">
        <v>50</v>
      </c>
      <c r="C22" s="6">
        <v>37</v>
      </c>
      <c r="D22" s="7">
        <f t="shared" si="11"/>
        <v>27</v>
      </c>
      <c r="E22" s="8">
        <f t="shared" si="7"/>
        <v>0</v>
      </c>
      <c r="F22" s="65">
        <f t="shared" si="12"/>
        <v>0</v>
      </c>
      <c r="G22" s="8">
        <f t="shared" si="8"/>
        <v>0</v>
      </c>
      <c r="H22" s="7">
        <f t="shared" si="13"/>
        <v>0</v>
      </c>
      <c r="I22" s="8">
        <f t="shared" si="9"/>
        <v>0</v>
      </c>
      <c r="J22" s="8">
        <f t="shared" si="10"/>
        <v>0</v>
      </c>
      <c r="K22" s="87">
        <f t="shared" si="6"/>
        <v>0</v>
      </c>
      <c r="L22" s="35"/>
      <c r="M22" s="49">
        <v>14</v>
      </c>
      <c r="N22" s="49">
        <v>48</v>
      </c>
      <c r="O22" s="49">
        <v>12</v>
      </c>
      <c r="P22" s="50" t="s">
        <v>96</v>
      </c>
      <c r="Q22" s="51" t="s">
        <v>80</v>
      </c>
      <c r="R22" s="33"/>
      <c r="T22" s="49">
        <v>14</v>
      </c>
      <c r="U22" s="49">
        <v>48</v>
      </c>
      <c r="V22" s="49">
        <v>12</v>
      </c>
      <c r="W22" s="50" t="s">
        <v>96</v>
      </c>
      <c r="Y22" s="58" t="s">
        <v>50</v>
      </c>
      <c r="Z22" s="58">
        <v>43</v>
      </c>
      <c r="AA22" s="59">
        <f t="shared" si="3"/>
        <v>33</v>
      </c>
      <c r="AB22" s="59">
        <f t="shared" si="14"/>
        <v>0</v>
      </c>
      <c r="AC22" s="67">
        <f t="shared" si="4"/>
        <v>0</v>
      </c>
      <c r="AD22" s="59">
        <f t="shared" si="0"/>
        <v>0</v>
      </c>
      <c r="AE22" s="59">
        <f t="shared" si="5"/>
        <v>0</v>
      </c>
      <c r="AF22" s="59">
        <f t="shared" si="1"/>
        <v>0</v>
      </c>
      <c r="AG22" s="59">
        <f t="shared" si="2"/>
        <v>0</v>
      </c>
    </row>
    <row r="23" spans="1:33" ht="15" thickBot="1" thickTop="1">
      <c r="A23" s="33"/>
      <c r="B23" s="6" t="s">
        <v>50</v>
      </c>
      <c r="C23" s="6">
        <v>38</v>
      </c>
      <c r="D23" s="7">
        <f t="shared" si="11"/>
        <v>28</v>
      </c>
      <c r="E23" s="8">
        <f t="shared" si="7"/>
        <v>0</v>
      </c>
      <c r="F23" s="65">
        <f t="shared" si="12"/>
        <v>0</v>
      </c>
      <c r="G23" s="8">
        <f t="shared" si="8"/>
        <v>0</v>
      </c>
      <c r="H23" s="7">
        <f t="shared" si="13"/>
        <v>0</v>
      </c>
      <c r="I23" s="8">
        <f t="shared" si="9"/>
        <v>0</v>
      </c>
      <c r="J23" s="8">
        <f t="shared" si="10"/>
        <v>0</v>
      </c>
      <c r="K23" s="87">
        <f t="shared" si="6"/>
        <v>0</v>
      </c>
      <c r="L23" s="35"/>
      <c r="M23" s="49">
        <v>15</v>
      </c>
      <c r="N23" s="49">
        <v>52</v>
      </c>
      <c r="O23" s="85">
        <v>46</v>
      </c>
      <c r="P23" s="50" t="s">
        <v>97</v>
      </c>
      <c r="Q23" s="51" t="s">
        <v>81</v>
      </c>
      <c r="R23" s="33"/>
      <c r="S23">
        <f>33+10</f>
        <v>43</v>
      </c>
      <c r="T23" s="49">
        <v>15</v>
      </c>
      <c r="U23" s="49">
        <v>52</v>
      </c>
      <c r="V23" s="85">
        <v>46</v>
      </c>
      <c r="W23" s="50" t="s">
        <v>97</v>
      </c>
      <c r="Y23" s="58" t="s">
        <v>50</v>
      </c>
      <c r="Z23" s="58">
        <v>44</v>
      </c>
      <c r="AA23" s="59">
        <f t="shared" si="3"/>
        <v>34</v>
      </c>
      <c r="AB23" s="59">
        <f t="shared" si="14"/>
        <v>0</v>
      </c>
      <c r="AC23" s="67">
        <f t="shared" si="4"/>
        <v>0</v>
      </c>
      <c r="AD23" s="59">
        <f t="shared" si="0"/>
        <v>0</v>
      </c>
      <c r="AE23" s="59">
        <f t="shared" si="5"/>
        <v>0</v>
      </c>
      <c r="AF23" s="59">
        <f t="shared" si="1"/>
        <v>0</v>
      </c>
      <c r="AG23" s="59">
        <f t="shared" si="2"/>
        <v>0</v>
      </c>
    </row>
    <row r="24" spans="1:33" ht="15" thickBot="1" thickTop="1">
      <c r="A24" s="33"/>
      <c r="B24" s="6" t="s">
        <v>50</v>
      </c>
      <c r="C24" s="6">
        <v>39</v>
      </c>
      <c r="D24" s="7">
        <f t="shared" si="11"/>
        <v>29</v>
      </c>
      <c r="E24" s="8">
        <f t="shared" si="7"/>
        <v>0</v>
      </c>
      <c r="F24" s="65">
        <f t="shared" si="12"/>
        <v>0</v>
      </c>
      <c r="G24" s="8">
        <f t="shared" si="8"/>
        <v>0</v>
      </c>
      <c r="H24" s="7">
        <f t="shared" si="13"/>
        <v>0</v>
      </c>
      <c r="I24" s="8">
        <f t="shared" si="9"/>
        <v>0</v>
      </c>
      <c r="J24" s="8">
        <f t="shared" si="10"/>
        <v>0</v>
      </c>
      <c r="K24" s="87">
        <f t="shared" si="6"/>
        <v>0</v>
      </c>
      <c r="L24" s="35"/>
      <c r="M24" s="49">
        <v>16</v>
      </c>
      <c r="N24" s="49">
        <v>52</v>
      </c>
      <c r="O24" s="49">
        <v>36</v>
      </c>
      <c r="P24" s="50" t="s">
        <v>98</v>
      </c>
      <c r="Q24" s="51" t="s">
        <v>82</v>
      </c>
      <c r="R24" s="33"/>
      <c r="T24" s="49">
        <v>16</v>
      </c>
      <c r="U24" s="49">
        <v>52</v>
      </c>
      <c r="V24" s="49">
        <v>36</v>
      </c>
      <c r="W24" s="50" t="s">
        <v>98</v>
      </c>
      <c r="Y24" s="58" t="s">
        <v>50</v>
      </c>
      <c r="Z24" s="58">
        <v>45</v>
      </c>
      <c r="AA24" s="59">
        <f t="shared" si="3"/>
        <v>35</v>
      </c>
      <c r="AB24" s="59">
        <f t="shared" si="14"/>
        <v>0</v>
      </c>
      <c r="AC24" s="67">
        <f t="shared" si="4"/>
        <v>0</v>
      </c>
      <c r="AD24" s="59">
        <f t="shared" si="0"/>
        <v>0</v>
      </c>
      <c r="AE24" s="59">
        <f t="shared" si="5"/>
        <v>0</v>
      </c>
      <c r="AF24" s="59">
        <f t="shared" si="1"/>
        <v>0</v>
      </c>
      <c r="AG24" s="59">
        <f t="shared" si="2"/>
        <v>0</v>
      </c>
    </row>
    <row r="25" spans="1:33" ht="15" thickBot="1" thickTop="1">
      <c r="A25" s="33"/>
      <c r="B25" s="6" t="s">
        <v>50</v>
      </c>
      <c r="C25" s="6">
        <v>40</v>
      </c>
      <c r="D25" s="7">
        <f t="shared" si="11"/>
        <v>30</v>
      </c>
      <c r="E25" s="8">
        <f t="shared" si="7"/>
        <v>0</v>
      </c>
      <c r="F25" s="65">
        <f t="shared" si="12"/>
        <v>0</v>
      </c>
      <c r="G25" s="8">
        <f t="shared" si="8"/>
        <v>0</v>
      </c>
      <c r="H25" s="7">
        <f t="shared" si="13"/>
        <v>0</v>
      </c>
      <c r="I25" s="8">
        <f t="shared" si="9"/>
        <v>0</v>
      </c>
      <c r="J25" s="8">
        <f t="shared" si="10"/>
        <v>0</v>
      </c>
      <c r="K25" s="87">
        <f t="shared" si="6"/>
        <v>0</v>
      </c>
      <c r="L25" s="35"/>
      <c r="M25" s="49">
        <v>17</v>
      </c>
      <c r="N25" s="49">
        <v>52</v>
      </c>
      <c r="O25" s="49">
        <v>36</v>
      </c>
      <c r="P25" s="50" t="s">
        <v>99</v>
      </c>
      <c r="Q25" s="51" t="s">
        <v>83</v>
      </c>
      <c r="R25" s="33"/>
      <c r="T25" s="49">
        <v>17</v>
      </c>
      <c r="U25" s="49">
        <v>52</v>
      </c>
      <c r="V25" s="49">
        <v>36</v>
      </c>
      <c r="W25" s="50" t="s">
        <v>99</v>
      </c>
      <c r="Y25" s="58" t="s">
        <v>50</v>
      </c>
      <c r="Z25" s="58">
        <v>46</v>
      </c>
      <c r="AA25" s="59">
        <f t="shared" si="3"/>
        <v>36</v>
      </c>
      <c r="AB25" s="59">
        <f t="shared" si="14"/>
        <v>0</v>
      </c>
      <c r="AC25" s="67">
        <f t="shared" si="4"/>
        <v>0</v>
      </c>
      <c r="AD25" s="59">
        <f t="shared" si="0"/>
        <v>0</v>
      </c>
      <c r="AE25" s="59">
        <f t="shared" si="5"/>
        <v>0</v>
      </c>
      <c r="AF25" s="59">
        <f t="shared" si="1"/>
        <v>0</v>
      </c>
      <c r="AG25" s="59">
        <f t="shared" si="2"/>
        <v>0</v>
      </c>
    </row>
    <row r="26" spans="1:33" ht="15" thickBot="1" thickTop="1">
      <c r="A26" s="33"/>
      <c r="B26" s="6" t="s">
        <v>50</v>
      </c>
      <c r="C26" s="6">
        <v>41</v>
      </c>
      <c r="D26" s="7">
        <f t="shared" si="11"/>
        <v>31</v>
      </c>
      <c r="E26" s="8">
        <f t="shared" si="7"/>
        <v>0</v>
      </c>
      <c r="F26" s="65">
        <f t="shared" si="12"/>
        <v>0</v>
      </c>
      <c r="G26" s="8">
        <f t="shared" si="8"/>
        <v>0</v>
      </c>
      <c r="H26" s="7">
        <f t="shared" si="13"/>
        <v>0</v>
      </c>
      <c r="I26" s="8">
        <f t="shared" si="9"/>
        <v>0</v>
      </c>
      <c r="J26" s="8">
        <f t="shared" si="10"/>
        <v>0</v>
      </c>
      <c r="K26" s="87">
        <f t="shared" si="6"/>
        <v>0</v>
      </c>
      <c r="L26" s="35"/>
      <c r="M26" s="49">
        <v>18</v>
      </c>
      <c r="N26" s="49">
        <v>82</v>
      </c>
      <c r="O26" s="85">
        <v>90</v>
      </c>
      <c r="P26" s="50" t="s">
        <v>109</v>
      </c>
      <c r="Q26" s="51" t="s">
        <v>84</v>
      </c>
      <c r="R26" s="33"/>
      <c r="T26" s="49">
        <v>18</v>
      </c>
      <c r="U26" s="49">
        <v>0</v>
      </c>
      <c r="V26" s="85">
        <v>30</v>
      </c>
      <c r="W26" s="50" t="s">
        <v>109</v>
      </c>
      <c r="Y26" s="58" t="s">
        <v>50</v>
      </c>
      <c r="Z26" s="58">
        <v>47</v>
      </c>
      <c r="AA26" s="59">
        <f t="shared" si="3"/>
        <v>37</v>
      </c>
      <c r="AB26" s="59">
        <f t="shared" si="14"/>
        <v>0</v>
      </c>
      <c r="AC26" s="67">
        <f t="shared" si="4"/>
        <v>0</v>
      </c>
      <c r="AD26" s="59">
        <f t="shared" si="0"/>
        <v>0</v>
      </c>
      <c r="AE26" s="59">
        <f t="shared" si="5"/>
        <v>0</v>
      </c>
      <c r="AF26" s="59">
        <f t="shared" si="1"/>
        <v>0</v>
      </c>
      <c r="AG26" s="59">
        <f t="shared" si="2"/>
        <v>0</v>
      </c>
    </row>
    <row r="27" spans="1:33" ht="15" thickBot="1" thickTop="1">
      <c r="A27" s="33"/>
      <c r="B27" s="6" t="s">
        <v>50</v>
      </c>
      <c r="C27" s="6">
        <v>42</v>
      </c>
      <c r="D27" s="7">
        <f t="shared" si="11"/>
        <v>32</v>
      </c>
      <c r="E27" s="8">
        <f t="shared" si="7"/>
        <v>0</v>
      </c>
      <c r="F27" s="65">
        <f t="shared" si="12"/>
        <v>0</v>
      </c>
      <c r="G27" s="8">
        <f t="shared" si="8"/>
        <v>0</v>
      </c>
      <c r="H27" s="7">
        <f t="shared" si="13"/>
        <v>0</v>
      </c>
      <c r="I27" s="8">
        <f t="shared" si="9"/>
        <v>0</v>
      </c>
      <c r="J27" s="8">
        <f t="shared" si="10"/>
        <v>0</v>
      </c>
      <c r="K27" s="87">
        <f t="shared" si="6"/>
        <v>0</v>
      </c>
      <c r="L27" s="35"/>
      <c r="M27" s="49">
        <v>19</v>
      </c>
      <c r="N27" s="49">
        <v>54</v>
      </c>
      <c r="O27" s="49">
        <v>60</v>
      </c>
      <c r="P27" s="50" t="s">
        <v>110</v>
      </c>
      <c r="Q27" s="51" t="s">
        <v>85</v>
      </c>
      <c r="R27" s="33"/>
      <c r="T27" s="43">
        <v>19</v>
      </c>
      <c r="U27" s="43">
        <v>0</v>
      </c>
      <c r="V27" s="43">
        <v>0</v>
      </c>
      <c r="W27" s="294" t="s">
        <v>222</v>
      </c>
      <c r="Y27" s="58" t="s">
        <v>50</v>
      </c>
      <c r="Z27" s="58">
        <v>48</v>
      </c>
      <c r="AA27" s="59">
        <f t="shared" si="3"/>
        <v>38</v>
      </c>
      <c r="AB27" s="59">
        <f t="shared" si="14"/>
        <v>0</v>
      </c>
      <c r="AC27" s="67">
        <f t="shared" si="4"/>
        <v>0</v>
      </c>
      <c r="AD27" s="59">
        <f t="shared" si="0"/>
        <v>0</v>
      </c>
      <c r="AE27" s="59">
        <f t="shared" si="5"/>
        <v>0</v>
      </c>
      <c r="AF27" s="59">
        <f t="shared" si="1"/>
        <v>0</v>
      </c>
      <c r="AG27" s="59">
        <f t="shared" si="2"/>
        <v>0</v>
      </c>
    </row>
    <row r="28" spans="1:33" ht="15" thickBot="1" thickTop="1">
      <c r="A28" s="33"/>
      <c r="B28" s="6" t="s">
        <v>50</v>
      </c>
      <c r="C28" s="6">
        <v>43</v>
      </c>
      <c r="D28" s="7">
        <f t="shared" si="11"/>
        <v>33</v>
      </c>
      <c r="E28" s="8">
        <f t="shared" si="7"/>
        <v>0</v>
      </c>
      <c r="F28" s="65">
        <f t="shared" si="12"/>
        <v>0</v>
      </c>
      <c r="G28" s="8">
        <f t="shared" si="8"/>
        <v>0</v>
      </c>
      <c r="H28" s="7">
        <f t="shared" si="13"/>
        <v>0</v>
      </c>
      <c r="I28" s="8">
        <f t="shared" si="9"/>
        <v>0</v>
      </c>
      <c r="J28" s="8">
        <f t="shared" si="10"/>
        <v>0</v>
      </c>
      <c r="K28" s="87">
        <f t="shared" si="6"/>
        <v>0</v>
      </c>
      <c r="L28" s="35"/>
      <c r="M28" s="49">
        <v>20</v>
      </c>
      <c r="N28" s="49">
        <v>54</v>
      </c>
      <c r="O28" s="49">
        <v>60</v>
      </c>
      <c r="P28" s="50" t="s">
        <v>111</v>
      </c>
      <c r="Q28" s="51" t="s">
        <v>113</v>
      </c>
      <c r="R28" s="33"/>
      <c r="Y28" s="58" t="s">
        <v>50</v>
      </c>
      <c r="Z28" s="58">
        <v>49</v>
      </c>
      <c r="AA28" s="59">
        <f t="shared" si="3"/>
        <v>39</v>
      </c>
      <c r="AB28" s="59">
        <f t="shared" si="14"/>
        <v>0</v>
      </c>
      <c r="AC28" s="67">
        <f t="shared" si="4"/>
        <v>0</v>
      </c>
      <c r="AD28" s="59">
        <f t="shared" si="0"/>
        <v>0</v>
      </c>
      <c r="AE28" s="59">
        <f t="shared" si="5"/>
        <v>0</v>
      </c>
      <c r="AF28" s="59">
        <f t="shared" si="1"/>
        <v>0</v>
      </c>
      <c r="AG28" s="59">
        <f t="shared" si="2"/>
        <v>0</v>
      </c>
    </row>
    <row r="29" spans="1:33" ht="15" thickBot="1" thickTop="1">
      <c r="A29" s="33"/>
      <c r="B29" s="6" t="s">
        <v>50</v>
      </c>
      <c r="C29" s="6">
        <v>44</v>
      </c>
      <c r="D29" s="7">
        <f t="shared" si="11"/>
        <v>34</v>
      </c>
      <c r="E29" s="8">
        <f>VLOOKUP(D29,$M$8:$N$31,2,1)</f>
        <v>0</v>
      </c>
      <c r="F29" s="65">
        <f t="shared" si="12"/>
        <v>0</v>
      </c>
      <c r="G29" s="8">
        <f>VLOOKUP(F29,$M$8:$N$31,2,1)</f>
        <v>0</v>
      </c>
      <c r="H29" s="7">
        <f t="shared" si="13"/>
        <v>0</v>
      </c>
      <c r="I29" s="8">
        <f>VLOOKUP(H29,$M$8:$N$31,2,1)</f>
        <v>0</v>
      </c>
      <c r="J29" s="8">
        <f>+E29+G29+I29</f>
        <v>0</v>
      </c>
      <c r="K29" s="33"/>
      <c r="L29" s="33"/>
      <c r="M29" s="49">
        <v>21</v>
      </c>
      <c r="N29" s="49">
        <v>54</v>
      </c>
      <c r="O29" s="49">
        <v>60</v>
      </c>
      <c r="P29" s="50" t="s">
        <v>112</v>
      </c>
      <c r="Q29" s="51" t="s">
        <v>114</v>
      </c>
      <c r="R29" s="33"/>
      <c r="Y29" s="58" t="s">
        <v>50</v>
      </c>
      <c r="Z29" s="58">
        <v>50</v>
      </c>
      <c r="AA29" s="59">
        <f t="shared" si="3"/>
        <v>40</v>
      </c>
      <c r="AB29" s="59">
        <f t="shared" si="14"/>
        <v>0</v>
      </c>
      <c r="AC29" s="67">
        <f t="shared" si="4"/>
        <v>0</v>
      </c>
      <c r="AD29" s="59">
        <f t="shared" si="0"/>
        <v>0</v>
      </c>
      <c r="AE29" s="59">
        <f t="shared" si="5"/>
        <v>0</v>
      </c>
      <c r="AF29" s="59">
        <f t="shared" si="1"/>
        <v>0</v>
      </c>
      <c r="AG29" s="59">
        <f t="shared" si="2"/>
        <v>0</v>
      </c>
    </row>
    <row r="30" spans="1:33" ht="15" thickBot="1" thickTop="1">
      <c r="A30" s="33"/>
      <c r="B30" s="6" t="s">
        <v>50</v>
      </c>
      <c r="C30" s="6">
        <v>45</v>
      </c>
      <c r="D30" s="7">
        <f t="shared" si="11"/>
        <v>35</v>
      </c>
      <c r="E30" s="8">
        <f>VLOOKUP(D30,$M$8:$N$31,2,1)</f>
        <v>0</v>
      </c>
      <c r="F30" s="65">
        <f t="shared" si="12"/>
        <v>0</v>
      </c>
      <c r="G30" s="8">
        <f>VLOOKUP(F30,$M$8:$N$31,2,1)</f>
        <v>0</v>
      </c>
      <c r="H30" s="7">
        <f t="shared" si="13"/>
        <v>0</v>
      </c>
      <c r="I30" s="8">
        <f>VLOOKUP(H30,$M$8:$N$31,2,1)</f>
        <v>0</v>
      </c>
      <c r="J30" s="8">
        <f>+E30+G30+I30</f>
        <v>0</v>
      </c>
      <c r="K30" s="33"/>
      <c r="L30" s="33"/>
      <c r="M30" s="49">
        <v>22</v>
      </c>
      <c r="N30" s="49">
        <v>0</v>
      </c>
      <c r="O30" s="49"/>
      <c r="P30" s="50" t="s">
        <v>103</v>
      </c>
      <c r="Q30" s="51" t="s">
        <v>115</v>
      </c>
      <c r="R30" s="33"/>
      <c r="Y30" s="58" t="s">
        <v>50</v>
      </c>
      <c r="Z30" s="58">
        <v>51</v>
      </c>
      <c r="AA30" s="59">
        <f t="shared" si="3"/>
        <v>41</v>
      </c>
      <c r="AB30" s="59">
        <f t="shared" si="14"/>
        <v>0</v>
      </c>
      <c r="AC30" s="67">
        <f t="shared" si="4"/>
        <v>0</v>
      </c>
      <c r="AD30" s="59">
        <f t="shared" si="0"/>
        <v>0</v>
      </c>
      <c r="AE30" s="59">
        <f t="shared" si="5"/>
        <v>0</v>
      </c>
      <c r="AF30" s="59">
        <f t="shared" si="1"/>
        <v>0</v>
      </c>
      <c r="AG30" s="59">
        <f t="shared" si="2"/>
        <v>0</v>
      </c>
    </row>
    <row r="31" spans="1:33" ht="15" thickBot="1" thickTop="1">
      <c r="A31" s="33"/>
      <c r="B31" s="6" t="s">
        <v>50</v>
      </c>
      <c r="C31" s="6">
        <v>46</v>
      </c>
      <c r="D31" s="7">
        <f t="shared" si="11"/>
        <v>36</v>
      </c>
      <c r="E31" s="8">
        <f>VLOOKUP(D31,$M$8:$N$31,2,1)</f>
        <v>0</v>
      </c>
      <c r="F31" s="65">
        <f t="shared" si="12"/>
        <v>0</v>
      </c>
      <c r="G31" s="8">
        <f>VLOOKUP(F31,$M$8:$N$31,2,1)</f>
        <v>0</v>
      </c>
      <c r="H31" s="7">
        <f t="shared" si="13"/>
        <v>0</v>
      </c>
      <c r="I31" s="8">
        <f>VLOOKUP(H31,$M$8:$N$31,2,1)</f>
        <v>0</v>
      </c>
      <c r="J31" s="8">
        <f>+E31+G31+I31</f>
        <v>0</v>
      </c>
      <c r="K31" s="33"/>
      <c r="L31" s="33"/>
      <c r="M31" s="49">
        <v>23</v>
      </c>
      <c r="N31" s="49">
        <v>0</v>
      </c>
      <c r="O31" s="49">
        <v>0</v>
      </c>
      <c r="P31" s="50" t="s">
        <v>103</v>
      </c>
      <c r="Q31" s="51"/>
      <c r="R31" s="33"/>
      <c r="Y31" s="58" t="s">
        <v>50</v>
      </c>
      <c r="Z31" s="58">
        <v>52</v>
      </c>
      <c r="AA31" s="59">
        <f t="shared" si="3"/>
        <v>42</v>
      </c>
      <c r="AB31" s="59">
        <f t="shared" si="14"/>
        <v>0</v>
      </c>
      <c r="AC31" s="67">
        <f t="shared" si="4"/>
        <v>0</v>
      </c>
      <c r="AD31" s="59">
        <f t="shared" si="0"/>
        <v>0</v>
      </c>
      <c r="AE31" s="59">
        <f t="shared" si="5"/>
        <v>0</v>
      </c>
      <c r="AF31" s="59">
        <f t="shared" si="1"/>
        <v>0</v>
      </c>
      <c r="AG31" s="59">
        <f t="shared" si="2"/>
        <v>0</v>
      </c>
    </row>
    <row r="32" spans="1:18" ht="15" thickBot="1" thickTop="1">
      <c r="A32" s="33"/>
      <c r="B32" s="273"/>
      <c r="C32" s="6">
        <v>47</v>
      </c>
      <c r="D32" s="7">
        <f t="shared" si="11"/>
        <v>37</v>
      </c>
      <c r="E32" s="8">
        <f>VLOOKUP(D32,$M$8:$N$31,2,1)</f>
        <v>0</v>
      </c>
      <c r="F32" s="65">
        <f t="shared" si="12"/>
        <v>0</v>
      </c>
      <c r="G32" s="8">
        <f>VLOOKUP(F32,$M$8:$N$31,2,1)</f>
        <v>0</v>
      </c>
      <c r="H32" s="7">
        <f t="shared" si="13"/>
        <v>0</v>
      </c>
      <c r="I32" s="8">
        <f>VLOOKUP(H32,$M$8:$N$31,2,1)</f>
        <v>0</v>
      </c>
      <c r="J32" s="8">
        <f>+E32+G32+I32</f>
        <v>0</v>
      </c>
      <c r="K32" s="33"/>
      <c r="L32" s="33"/>
      <c r="M32" s="52" t="s">
        <v>106</v>
      </c>
      <c r="N32" s="33"/>
      <c r="O32" s="33"/>
      <c r="P32" s="33"/>
      <c r="Q32" s="33"/>
      <c r="R32" t="s">
        <v>217</v>
      </c>
    </row>
    <row r="33" spans="1:32" ht="15" thickBot="1" thickTop="1">
      <c r="A33" s="33"/>
      <c r="B33" s="273"/>
      <c r="C33" s="6">
        <v>48</v>
      </c>
      <c r="D33" s="7">
        <f t="shared" si="11"/>
        <v>38</v>
      </c>
      <c r="E33" s="8">
        <f>VLOOKUP(D33,$M$8:$N$31,2,1)</f>
        <v>0</v>
      </c>
      <c r="F33" s="65">
        <f t="shared" si="12"/>
        <v>0</v>
      </c>
      <c r="G33" s="8">
        <f>VLOOKUP(F33,$M$8:$N$31,2,1)</f>
        <v>0</v>
      </c>
      <c r="H33" s="7">
        <f t="shared" si="13"/>
        <v>0</v>
      </c>
      <c r="I33" s="8">
        <f>VLOOKUP(H33,$M$8:$N$31,2,1)</f>
        <v>0</v>
      </c>
      <c r="J33" s="8">
        <f>+E33+G33+I33</f>
        <v>0</v>
      </c>
      <c r="K33" s="36"/>
      <c r="L33" s="33"/>
      <c r="M33" s="477" t="s">
        <v>219</v>
      </c>
      <c r="N33" s="478"/>
      <c r="O33" s="478"/>
      <c r="P33" s="478"/>
      <c r="Q33" s="478"/>
      <c r="R33" s="42" t="s">
        <v>216</v>
      </c>
      <c r="T33" s="477" t="s">
        <v>220</v>
      </c>
      <c r="U33" s="478"/>
      <c r="V33" s="478"/>
      <c r="W33" s="479"/>
      <c r="X33" s="270" t="s">
        <v>216</v>
      </c>
      <c r="AA33" s="477" t="s">
        <v>219</v>
      </c>
      <c r="AB33" s="478"/>
      <c r="AC33" s="478"/>
      <c r="AD33" s="478"/>
      <c r="AE33" s="478"/>
      <c r="AF33" s="42" t="s">
        <v>216</v>
      </c>
    </row>
    <row r="34" spans="1:32" ht="15" thickBot="1" thickTop="1">
      <c r="A34" s="33"/>
      <c r="B34" s="33" t="s">
        <v>118</v>
      </c>
      <c r="C34" s="33"/>
      <c r="D34" s="33"/>
      <c r="E34" s="33"/>
      <c r="F34" s="39"/>
      <c r="G34" s="33"/>
      <c r="H34" s="33"/>
      <c r="I34" s="33"/>
      <c r="J34" s="33"/>
      <c r="M34" s="267"/>
      <c r="N34" s="268" t="s">
        <v>176</v>
      </c>
      <c r="O34" s="268" t="s">
        <v>177</v>
      </c>
      <c r="P34" s="268" t="s">
        <v>178</v>
      </c>
      <c r="Q34" s="14" t="s">
        <v>221</v>
      </c>
      <c r="R34" s="269" t="s">
        <v>180</v>
      </c>
      <c r="T34" s="268" t="s">
        <v>176</v>
      </c>
      <c r="U34" s="268" t="s">
        <v>177</v>
      </c>
      <c r="V34" s="268" t="s">
        <v>178</v>
      </c>
      <c r="W34" s="1" t="s">
        <v>221</v>
      </c>
      <c r="X34" s="271" t="s">
        <v>180</v>
      </c>
      <c r="AA34" s="267"/>
      <c r="AB34" s="268" t="s">
        <v>176</v>
      </c>
      <c r="AC34" s="268" t="s">
        <v>177</v>
      </c>
      <c r="AD34" s="268" t="s">
        <v>178</v>
      </c>
      <c r="AE34" s="14" t="s">
        <v>221</v>
      </c>
      <c r="AF34" s="269" t="s">
        <v>180</v>
      </c>
    </row>
    <row r="35" spans="1:32" ht="15" thickBot="1" thickTop="1">
      <c r="A35" s="33"/>
      <c r="B35" s="53"/>
      <c r="C35" s="54"/>
      <c r="D35" s="473" t="s">
        <v>43</v>
      </c>
      <c r="E35" s="474"/>
      <c r="F35" s="473" t="s">
        <v>44</v>
      </c>
      <c r="G35" s="474"/>
      <c r="H35" s="473" t="s">
        <v>45</v>
      </c>
      <c r="I35" s="474"/>
      <c r="J35" s="55" t="s">
        <v>46</v>
      </c>
      <c r="M35" s="1"/>
      <c r="N35" s="49">
        <f>IF(D37&gt;17,0,E37)</f>
        <v>12</v>
      </c>
      <c r="O35" s="49">
        <f>IF(F37&gt;17,0,G37)</f>
        <v>0</v>
      </c>
      <c r="P35" s="49">
        <f>IF(H37&gt;17,0,I37)</f>
        <v>0</v>
      </c>
      <c r="Q35" s="1">
        <f>+N35+O35+P35</f>
        <v>12</v>
      </c>
      <c r="R35" s="267">
        <f>IF(シート１!$K$18="いいえ",Q35,J37)</f>
        <v>12</v>
      </c>
      <c r="T35" s="44">
        <f>IF(D9&gt;17,0,E9)</f>
        <v>48</v>
      </c>
      <c r="U35" s="44">
        <f>IF(F9&gt;17,0,G9)</f>
        <v>0</v>
      </c>
      <c r="V35" s="44">
        <f>IF(H9&gt;17,0,I9)</f>
        <v>0</v>
      </c>
      <c r="W35" s="1">
        <f>+T35+U35+V35</f>
        <v>48</v>
      </c>
      <c r="X35" s="272">
        <f>IF(シート１!$K$18="いいえ",W35,J9)</f>
        <v>48</v>
      </c>
      <c r="Y35">
        <v>24</v>
      </c>
      <c r="AA35" s="1"/>
      <c r="AB35" s="49">
        <f>IF(AA3&gt;18,0,AB3)</f>
        <v>12</v>
      </c>
      <c r="AC35" s="49">
        <f>IF(AC3&gt;18,0,AD3)</f>
        <v>0</v>
      </c>
      <c r="AD35" s="49">
        <f>IF(AE3&gt;18,0,AF3)</f>
        <v>0</v>
      </c>
      <c r="AE35" s="1">
        <f>+AB35+AC35+AD35</f>
        <v>12</v>
      </c>
      <c r="AF35" s="267">
        <f>IF(シート１!$K$18="いいえ",AE35,J37)</f>
        <v>12</v>
      </c>
    </row>
    <row r="36" spans="1:32" ht="15" thickBot="1" thickTop="1">
      <c r="A36" s="33"/>
      <c r="B36" s="56"/>
      <c r="C36" s="57"/>
      <c r="D36" s="55" t="s">
        <v>48</v>
      </c>
      <c r="E36" s="55" t="s">
        <v>218</v>
      </c>
      <c r="F36" s="66" t="s">
        <v>48</v>
      </c>
      <c r="G36" s="55" t="s">
        <v>49</v>
      </c>
      <c r="H36" s="55" t="s">
        <v>48</v>
      </c>
      <c r="I36" s="55" t="s">
        <v>49</v>
      </c>
      <c r="J36" s="55" t="s">
        <v>49</v>
      </c>
      <c r="M36" s="1"/>
      <c r="N36" s="49">
        <f aca="true" t="shared" si="15" ref="N36:N60">IF(D38&gt;17,0,E38)</f>
        <v>46</v>
      </c>
      <c r="O36" s="49">
        <f aca="true" t="shared" si="16" ref="O36:O60">IF(F38&gt;17,0,G38)</f>
        <v>0</v>
      </c>
      <c r="P36" s="49">
        <f aca="true" t="shared" si="17" ref="P36:P60">IF(H38&gt;17,0,I38)</f>
        <v>0</v>
      </c>
      <c r="Q36" s="1">
        <f aca="true" t="shared" si="18" ref="Q36:Q54">+N36+O36+P36</f>
        <v>46</v>
      </c>
      <c r="R36" s="1">
        <f>IF(シート１!$K$18="いいえ",Q36,J38)</f>
        <v>46</v>
      </c>
      <c r="T36" s="44">
        <f aca="true" t="shared" si="19" ref="T36:T60">IF(D10&gt;17,0,E10)</f>
        <v>52</v>
      </c>
      <c r="U36" s="44">
        <f aca="true" t="shared" si="20" ref="U36:U60">IF(F10&gt;17,0,G10)</f>
        <v>0</v>
      </c>
      <c r="V36" s="44">
        <f aca="true" t="shared" si="21" ref="V36:V60">IF(H10&gt;17,0,I10)</f>
        <v>0</v>
      </c>
      <c r="W36" s="1">
        <f aca="true" t="shared" si="22" ref="W36:W60">+T36+U36+V36</f>
        <v>52</v>
      </c>
      <c r="X36" s="272">
        <f>IF(シート１!$K$18="いいえ",W36,J10)</f>
        <v>52</v>
      </c>
      <c r="Y36">
        <v>25</v>
      </c>
      <c r="AA36" s="1"/>
      <c r="AB36" s="49">
        <f aca="true" t="shared" si="23" ref="AB36:AB61">IF(AA4&gt;18,0,AB4)</f>
        <v>46</v>
      </c>
      <c r="AC36" s="49">
        <f aca="true" t="shared" si="24" ref="AC36:AC61">IF(AC4&gt;18,0,AD4)</f>
        <v>0</v>
      </c>
      <c r="AD36" s="49">
        <f aca="true" t="shared" si="25" ref="AD36:AD61">IF(AE4&gt;18,0,AF4)</f>
        <v>0</v>
      </c>
      <c r="AE36" s="1">
        <f aca="true" t="shared" si="26" ref="AE36:AE52">+AB36+AC36+AD36</f>
        <v>46</v>
      </c>
      <c r="AF36" s="267">
        <f>IF(シート１!$K$18="いいえ",AE36,J38)</f>
        <v>46</v>
      </c>
    </row>
    <row r="37" spans="1:32" ht="15" thickBot="1" thickTop="1">
      <c r="A37" s="33"/>
      <c r="B37" s="58" t="s">
        <v>50</v>
      </c>
      <c r="C37" s="58">
        <v>24</v>
      </c>
      <c r="D37" s="7">
        <f>IF(F3="",0,F3)</f>
        <v>14</v>
      </c>
      <c r="E37" s="59">
        <f>VLOOKUP(D37,$M$8:$P$31,3,1)</f>
        <v>12</v>
      </c>
      <c r="F37" s="7">
        <f>IF(F4="",0,F4)</f>
        <v>0</v>
      </c>
      <c r="G37" s="59">
        <f>VLOOKUP(F37,$M$8:$P$31,3,1)</f>
        <v>0</v>
      </c>
      <c r="H37" s="7">
        <f>IF(F5="",0,F5)</f>
        <v>0</v>
      </c>
      <c r="I37" s="59">
        <f>VLOOKUP(H37,$M$8:$P$31,3,1)</f>
        <v>0</v>
      </c>
      <c r="J37" s="59">
        <f>+E37+G37+I37</f>
        <v>12</v>
      </c>
      <c r="M37" s="1"/>
      <c r="N37" s="49">
        <f t="shared" si="15"/>
        <v>36</v>
      </c>
      <c r="O37" s="49">
        <f t="shared" si="16"/>
        <v>0</v>
      </c>
      <c r="P37" s="49">
        <f t="shared" si="17"/>
        <v>0</v>
      </c>
      <c r="Q37" s="1">
        <f t="shared" si="18"/>
        <v>36</v>
      </c>
      <c r="R37" s="1">
        <f>IF(シート１!$K$18="いいえ",Q37,J39)</f>
        <v>36</v>
      </c>
      <c r="T37" s="44">
        <f t="shared" si="19"/>
        <v>52</v>
      </c>
      <c r="U37" s="44">
        <f t="shared" si="20"/>
        <v>0</v>
      </c>
      <c r="V37" s="44">
        <f t="shared" si="21"/>
        <v>0</v>
      </c>
      <c r="W37" s="1">
        <f t="shared" si="22"/>
        <v>52</v>
      </c>
      <c r="X37" s="272">
        <f>IF(シート１!$K$18="いいえ",W37,J11)</f>
        <v>52</v>
      </c>
      <c r="Y37">
        <v>26</v>
      </c>
      <c r="AA37" s="1"/>
      <c r="AB37" s="49">
        <f t="shared" si="23"/>
        <v>36</v>
      </c>
      <c r="AC37" s="49">
        <f t="shared" si="24"/>
        <v>0</v>
      </c>
      <c r="AD37" s="49">
        <f t="shared" si="25"/>
        <v>0</v>
      </c>
      <c r="AE37" s="1">
        <f t="shared" si="26"/>
        <v>36</v>
      </c>
      <c r="AF37" s="267">
        <f>IF(シート１!$K$18="いいえ",AE37,J39)</f>
        <v>36</v>
      </c>
    </row>
    <row r="38" spans="1:32" ht="15" thickBot="1" thickTop="1">
      <c r="A38" s="33"/>
      <c r="B38" s="58" t="s">
        <v>50</v>
      </c>
      <c r="C38" s="58">
        <v>25</v>
      </c>
      <c r="D38" s="59">
        <f>IF($F$3="",0,+D37+1)</f>
        <v>15</v>
      </c>
      <c r="E38" s="59">
        <f aca="true" t="shared" si="27" ref="E38:E56">VLOOKUP(D38,$M$8:$P$31,3,1)</f>
        <v>46</v>
      </c>
      <c r="F38" s="67">
        <f>IF($F$4="",0,+F37+1)</f>
        <v>0</v>
      </c>
      <c r="G38" s="59">
        <f aca="true" t="shared" si="28" ref="G38:G56">VLOOKUP(F38,$M$8:$P$31,3,1)</f>
        <v>0</v>
      </c>
      <c r="H38" s="59">
        <f>IF($F$5="",0,+H37+1)</f>
        <v>0</v>
      </c>
      <c r="I38" s="59">
        <f aca="true" t="shared" si="29" ref="I38:I56">VLOOKUP(H38,$M$8:$P$31,3,1)</f>
        <v>0</v>
      </c>
      <c r="J38" s="59">
        <f aca="true" t="shared" si="30" ref="J38:J56">+E38+G38+I38</f>
        <v>46</v>
      </c>
      <c r="M38" s="1"/>
      <c r="N38" s="49">
        <f t="shared" si="15"/>
        <v>36</v>
      </c>
      <c r="O38" s="49">
        <f t="shared" si="16"/>
        <v>0</v>
      </c>
      <c r="P38" s="49">
        <f t="shared" si="17"/>
        <v>0</v>
      </c>
      <c r="Q38" s="1">
        <f t="shared" si="18"/>
        <v>36</v>
      </c>
      <c r="R38" s="1">
        <f>IF(シート１!$K$18="いいえ",Q38,J40)</f>
        <v>36</v>
      </c>
      <c r="T38" s="44">
        <f t="shared" si="19"/>
        <v>52</v>
      </c>
      <c r="U38" s="44">
        <f t="shared" si="20"/>
        <v>0</v>
      </c>
      <c r="V38" s="44">
        <f t="shared" si="21"/>
        <v>0</v>
      </c>
      <c r="W38" s="1">
        <f t="shared" si="22"/>
        <v>52</v>
      </c>
      <c r="X38" s="272">
        <f>IF(シート１!$K$18="いいえ",W38,J12)</f>
        <v>52</v>
      </c>
      <c r="Y38">
        <v>27</v>
      </c>
      <c r="AA38" s="1"/>
      <c r="AB38" s="49">
        <f t="shared" si="23"/>
        <v>36</v>
      </c>
      <c r="AC38" s="49">
        <f t="shared" si="24"/>
        <v>0</v>
      </c>
      <c r="AD38" s="49">
        <f t="shared" si="25"/>
        <v>0</v>
      </c>
      <c r="AE38" s="1">
        <f t="shared" si="26"/>
        <v>36</v>
      </c>
      <c r="AF38" s="267">
        <f>IF(シート１!$K$18="いいえ",AE38,J40)</f>
        <v>36</v>
      </c>
    </row>
    <row r="39" spans="1:32" ht="15" thickBot="1" thickTop="1">
      <c r="A39" s="33"/>
      <c r="B39" s="58" t="s">
        <v>50</v>
      </c>
      <c r="C39" s="58">
        <v>26</v>
      </c>
      <c r="D39" s="59">
        <f aca="true" t="shared" si="31" ref="D39:D65">IF($F$3="",0,+D38+1)</f>
        <v>16</v>
      </c>
      <c r="E39" s="59">
        <f t="shared" si="27"/>
        <v>36</v>
      </c>
      <c r="F39" s="67">
        <f aca="true" t="shared" si="32" ref="F39:F65">IF($F$4="",0,+F38+1)</f>
        <v>0</v>
      </c>
      <c r="G39" s="59">
        <f t="shared" si="28"/>
        <v>0</v>
      </c>
      <c r="H39" s="59">
        <f aca="true" t="shared" si="33" ref="H39:H65">IF($F$5="",0,+H38+1)</f>
        <v>0</v>
      </c>
      <c r="I39" s="59">
        <f t="shared" si="29"/>
        <v>0</v>
      </c>
      <c r="J39" s="59">
        <f t="shared" si="30"/>
        <v>36</v>
      </c>
      <c r="M39" s="1"/>
      <c r="N39" s="49">
        <f t="shared" si="15"/>
        <v>0</v>
      </c>
      <c r="O39" s="49">
        <f t="shared" si="16"/>
        <v>0</v>
      </c>
      <c r="P39" s="49">
        <f t="shared" si="17"/>
        <v>0</v>
      </c>
      <c r="Q39" s="1">
        <f t="shared" si="18"/>
        <v>0</v>
      </c>
      <c r="R39" s="1">
        <f>IF(シート１!$K$18="いいえ",Q39,J41)</f>
        <v>90</v>
      </c>
      <c r="T39" s="44">
        <f t="shared" si="19"/>
        <v>0</v>
      </c>
      <c r="U39" s="44">
        <f t="shared" si="20"/>
        <v>0</v>
      </c>
      <c r="V39" s="44">
        <f t="shared" si="21"/>
        <v>0</v>
      </c>
      <c r="W39" s="1">
        <f t="shared" si="22"/>
        <v>0</v>
      </c>
      <c r="X39" s="272">
        <f>IF(シート１!$K$18="いいえ",W39,J13)</f>
        <v>82</v>
      </c>
      <c r="Y39">
        <v>28</v>
      </c>
      <c r="AA39" s="1"/>
      <c r="AB39" s="49">
        <f t="shared" si="23"/>
        <v>30</v>
      </c>
      <c r="AC39" s="49">
        <f t="shared" si="24"/>
        <v>0</v>
      </c>
      <c r="AD39" s="49">
        <f t="shared" si="25"/>
        <v>0</v>
      </c>
      <c r="AE39" s="1">
        <f t="shared" si="26"/>
        <v>30</v>
      </c>
      <c r="AF39" s="267">
        <f>IF(シート１!$K$18="いいえ",AE39,J41)</f>
        <v>90</v>
      </c>
    </row>
    <row r="40" spans="1:32" ht="15" thickBot="1" thickTop="1">
      <c r="A40" s="33"/>
      <c r="B40" s="58" t="s">
        <v>50</v>
      </c>
      <c r="C40" s="58">
        <v>27</v>
      </c>
      <c r="D40" s="59">
        <f t="shared" si="31"/>
        <v>17</v>
      </c>
      <c r="E40" s="59">
        <f t="shared" si="27"/>
        <v>36</v>
      </c>
      <c r="F40" s="67">
        <f t="shared" si="32"/>
        <v>0</v>
      </c>
      <c r="G40" s="59">
        <f t="shared" si="28"/>
        <v>0</v>
      </c>
      <c r="H40" s="59">
        <f t="shared" si="33"/>
        <v>0</v>
      </c>
      <c r="I40" s="59">
        <f t="shared" si="29"/>
        <v>0</v>
      </c>
      <c r="J40" s="59">
        <f t="shared" si="30"/>
        <v>36</v>
      </c>
      <c r="M40" s="1"/>
      <c r="N40" s="49">
        <f t="shared" si="15"/>
        <v>0</v>
      </c>
      <c r="O40" s="49">
        <f t="shared" si="16"/>
        <v>0</v>
      </c>
      <c r="P40" s="49">
        <f t="shared" si="17"/>
        <v>0</v>
      </c>
      <c r="Q40" s="1">
        <f t="shared" si="18"/>
        <v>0</v>
      </c>
      <c r="R40" s="1">
        <f>IF(シート１!$K$18="いいえ",Q40,J42)</f>
        <v>60</v>
      </c>
      <c r="T40" s="44">
        <f t="shared" si="19"/>
        <v>0</v>
      </c>
      <c r="U40" s="44">
        <f t="shared" si="20"/>
        <v>0</v>
      </c>
      <c r="V40" s="44">
        <f t="shared" si="21"/>
        <v>0</v>
      </c>
      <c r="W40" s="1">
        <f t="shared" si="22"/>
        <v>0</v>
      </c>
      <c r="X40" s="272">
        <f>IF(シート１!$K$18="いいえ",W40,J14)</f>
        <v>54</v>
      </c>
      <c r="Y40">
        <v>29</v>
      </c>
      <c r="AA40" s="1"/>
      <c r="AB40" s="49">
        <f t="shared" si="23"/>
        <v>0</v>
      </c>
      <c r="AC40" s="49">
        <f t="shared" si="24"/>
        <v>0</v>
      </c>
      <c r="AD40" s="49">
        <f t="shared" si="25"/>
        <v>0</v>
      </c>
      <c r="AE40" s="1">
        <f t="shared" si="26"/>
        <v>0</v>
      </c>
      <c r="AF40" s="267">
        <f>IF(シート１!$K$18="いいえ",AE40,J42)</f>
        <v>60</v>
      </c>
    </row>
    <row r="41" spans="1:32" ht="15" thickBot="1" thickTop="1">
      <c r="A41" s="33"/>
      <c r="B41" s="58" t="s">
        <v>50</v>
      </c>
      <c r="C41" s="58">
        <v>28</v>
      </c>
      <c r="D41" s="59">
        <f t="shared" si="31"/>
        <v>18</v>
      </c>
      <c r="E41" s="59">
        <f t="shared" si="27"/>
        <v>90</v>
      </c>
      <c r="F41" s="67">
        <f t="shared" si="32"/>
        <v>0</v>
      </c>
      <c r="G41" s="59">
        <f t="shared" si="28"/>
        <v>0</v>
      </c>
      <c r="H41" s="59">
        <f t="shared" si="33"/>
        <v>0</v>
      </c>
      <c r="I41" s="59">
        <f t="shared" si="29"/>
        <v>0</v>
      </c>
      <c r="J41" s="59">
        <f t="shared" si="30"/>
        <v>90</v>
      </c>
      <c r="M41" s="1"/>
      <c r="N41" s="49">
        <f t="shared" si="15"/>
        <v>0</v>
      </c>
      <c r="O41" s="49">
        <f t="shared" si="16"/>
        <v>0</v>
      </c>
      <c r="P41" s="49">
        <f t="shared" si="17"/>
        <v>0</v>
      </c>
      <c r="Q41" s="1">
        <f t="shared" si="18"/>
        <v>0</v>
      </c>
      <c r="R41" s="1">
        <f>IF(シート１!$K$18="いいえ",Q41,J43)</f>
        <v>60</v>
      </c>
      <c r="T41" s="44">
        <f t="shared" si="19"/>
        <v>0</v>
      </c>
      <c r="U41" s="44">
        <f t="shared" si="20"/>
        <v>0</v>
      </c>
      <c r="V41" s="44">
        <f t="shared" si="21"/>
        <v>0</v>
      </c>
      <c r="W41" s="1">
        <f t="shared" si="22"/>
        <v>0</v>
      </c>
      <c r="X41" s="272">
        <f>IF(シート１!$K$18="いいえ",W41,J15)</f>
        <v>54</v>
      </c>
      <c r="Y41">
        <v>30</v>
      </c>
      <c r="AA41" s="1"/>
      <c r="AB41" s="49">
        <f t="shared" si="23"/>
        <v>0</v>
      </c>
      <c r="AC41" s="49">
        <f t="shared" si="24"/>
        <v>0</v>
      </c>
      <c r="AD41" s="49">
        <f t="shared" si="25"/>
        <v>0</v>
      </c>
      <c r="AE41" s="1">
        <f t="shared" si="26"/>
        <v>0</v>
      </c>
      <c r="AF41" s="267">
        <f>IF(シート１!$K$18="いいえ",AE41,J43)</f>
        <v>60</v>
      </c>
    </row>
    <row r="42" spans="1:32" ht="15" thickBot="1" thickTop="1">
      <c r="A42" s="33"/>
      <c r="B42" s="58" t="s">
        <v>50</v>
      </c>
      <c r="C42" s="58">
        <v>29</v>
      </c>
      <c r="D42" s="59">
        <f t="shared" si="31"/>
        <v>19</v>
      </c>
      <c r="E42" s="59">
        <f t="shared" si="27"/>
        <v>60</v>
      </c>
      <c r="F42" s="67">
        <f t="shared" si="32"/>
        <v>0</v>
      </c>
      <c r="G42" s="59">
        <f t="shared" si="28"/>
        <v>0</v>
      </c>
      <c r="H42" s="59">
        <f t="shared" si="33"/>
        <v>0</v>
      </c>
      <c r="I42" s="59">
        <f t="shared" si="29"/>
        <v>0</v>
      </c>
      <c r="J42" s="59">
        <f t="shared" si="30"/>
        <v>60</v>
      </c>
      <c r="M42" s="1"/>
      <c r="N42" s="49">
        <f t="shared" si="15"/>
        <v>0</v>
      </c>
      <c r="O42" s="49">
        <f t="shared" si="16"/>
        <v>0</v>
      </c>
      <c r="P42" s="49">
        <f t="shared" si="17"/>
        <v>0</v>
      </c>
      <c r="Q42" s="1">
        <f t="shared" si="18"/>
        <v>0</v>
      </c>
      <c r="R42" s="1">
        <f>IF(シート１!$K$18="いいえ",Q42,J44)</f>
        <v>60</v>
      </c>
      <c r="T42" s="44">
        <f t="shared" si="19"/>
        <v>0</v>
      </c>
      <c r="U42" s="44">
        <f t="shared" si="20"/>
        <v>0</v>
      </c>
      <c r="V42" s="44">
        <f t="shared" si="21"/>
        <v>0</v>
      </c>
      <c r="W42" s="1">
        <f t="shared" si="22"/>
        <v>0</v>
      </c>
      <c r="X42" s="272">
        <f>IF(シート１!$K$18="いいえ",W42,J16)</f>
        <v>54</v>
      </c>
      <c r="Y42">
        <v>31</v>
      </c>
      <c r="AA42" s="1"/>
      <c r="AB42" s="49">
        <f t="shared" si="23"/>
        <v>0</v>
      </c>
      <c r="AC42" s="49">
        <f t="shared" si="24"/>
        <v>0</v>
      </c>
      <c r="AD42" s="49">
        <f t="shared" si="25"/>
        <v>0</v>
      </c>
      <c r="AE42" s="1">
        <f t="shared" si="26"/>
        <v>0</v>
      </c>
      <c r="AF42" s="267">
        <f>IF(シート１!$K$18="いいえ",AE42,J44)</f>
        <v>60</v>
      </c>
    </row>
    <row r="43" spans="1:32" ht="15" thickBot="1" thickTop="1">
      <c r="A43" s="33"/>
      <c r="B43" s="58" t="s">
        <v>50</v>
      </c>
      <c r="C43" s="58">
        <v>30</v>
      </c>
      <c r="D43" s="59">
        <f t="shared" si="31"/>
        <v>20</v>
      </c>
      <c r="E43" s="59">
        <f t="shared" si="27"/>
        <v>60</v>
      </c>
      <c r="F43" s="67">
        <f t="shared" si="32"/>
        <v>0</v>
      </c>
      <c r="G43" s="59">
        <f t="shared" si="28"/>
        <v>0</v>
      </c>
      <c r="H43" s="59">
        <f t="shared" si="33"/>
        <v>0</v>
      </c>
      <c r="I43" s="59">
        <f t="shared" si="29"/>
        <v>0</v>
      </c>
      <c r="J43" s="59">
        <f t="shared" si="30"/>
        <v>60</v>
      </c>
      <c r="M43" s="1"/>
      <c r="N43" s="49">
        <f t="shared" si="15"/>
        <v>0</v>
      </c>
      <c r="O43" s="49">
        <f t="shared" si="16"/>
        <v>0</v>
      </c>
      <c r="P43" s="49">
        <f t="shared" si="17"/>
        <v>0</v>
      </c>
      <c r="Q43" s="1">
        <f t="shared" si="18"/>
        <v>0</v>
      </c>
      <c r="R43" s="1">
        <f>IF(シート１!$K$18="いいえ",Q43,J45)</f>
        <v>0</v>
      </c>
      <c r="T43" s="44">
        <f t="shared" si="19"/>
        <v>0</v>
      </c>
      <c r="U43" s="44">
        <f t="shared" si="20"/>
        <v>0</v>
      </c>
      <c r="V43" s="44">
        <f t="shared" si="21"/>
        <v>0</v>
      </c>
      <c r="W43" s="1">
        <f t="shared" si="22"/>
        <v>0</v>
      </c>
      <c r="X43" s="272">
        <f>IF(シート１!$K$18="いいえ",W43,J17)</f>
        <v>0</v>
      </c>
      <c r="Y43">
        <v>32</v>
      </c>
      <c r="AA43" s="1"/>
      <c r="AB43" s="49">
        <f t="shared" si="23"/>
        <v>0</v>
      </c>
      <c r="AC43" s="49">
        <f t="shared" si="24"/>
        <v>0</v>
      </c>
      <c r="AD43" s="49">
        <f t="shared" si="25"/>
        <v>0</v>
      </c>
      <c r="AE43" s="1">
        <f t="shared" si="26"/>
        <v>0</v>
      </c>
      <c r="AF43" s="267">
        <f>IF(シート１!$K$18="いいえ",AE43,J45)</f>
        <v>0</v>
      </c>
    </row>
    <row r="44" spans="1:32" ht="15" thickBot="1" thickTop="1">
      <c r="A44" s="33"/>
      <c r="B44" s="58" t="s">
        <v>50</v>
      </c>
      <c r="C44" s="58">
        <v>31</v>
      </c>
      <c r="D44" s="59">
        <f t="shared" si="31"/>
        <v>21</v>
      </c>
      <c r="E44" s="59">
        <f t="shared" si="27"/>
        <v>60</v>
      </c>
      <c r="F44" s="67">
        <f t="shared" si="32"/>
        <v>0</v>
      </c>
      <c r="G44" s="59">
        <f t="shared" si="28"/>
        <v>0</v>
      </c>
      <c r="H44" s="59">
        <f t="shared" si="33"/>
        <v>0</v>
      </c>
      <c r="I44" s="59">
        <f t="shared" si="29"/>
        <v>0</v>
      </c>
      <c r="J44" s="59">
        <f t="shared" si="30"/>
        <v>60</v>
      </c>
      <c r="M44" s="1"/>
      <c r="N44" s="49">
        <f t="shared" si="15"/>
        <v>0</v>
      </c>
      <c r="O44" s="49">
        <f t="shared" si="16"/>
        <v>0</v>
      </c>
      <c r="P44" s="49">
        <f t="shared" si="17"/>
        <v>0</v>
      </c>
      <c r="Q44" s="1">
        <f t="shared" si="18"/>
        <v>0</v>
      </c>
      <c r="R44" s="1">
        <f>IF(シート１!$K$18="いいえ",Q44,J46)</f>
        <v>0</v>
      </c>
      <c r="T44" s="44">
        <f t="shared" si="19"/>
        <v>0</v>
      </c>
      <c r="U44" s="44">
        <f t="shared" si="20"/>
        <v>0</v>
      </c>
      <c r="V44" s="44">
        <f t="shared" si="21"/>
        <v>0</v>
      </c>
      <c r="W44" s="1">
        <f t="shared" si="22"/>
        <v>0</v>
      </c>
      <c r="X44" s="272">
        <f>IF(シート１!$K$18="いいえ",W44,J18)</f>
        <v>0</v>
      </c>
      <c r="Y44">
        <v>33</v>
      </c>
      <c r="AA44" s="1"/>
      <c r="AB44" s="49">
        <f t="shared" si="23"/>
        <v>0</v>
      </c>
      <c r="AC44" s="49">
        <f t="shared" si="24"/>
        <v>0</v>
      </c>
      <c r="AD44" s="49">
        <f t="shared" si="25"/>
        <v>0</v>
      </c>
      <c r="AE44" s="1">
        <f t="shared" si="26"/>
        <v>0</v>
      </c>
      <c r="AF44" s="267">
        <f>IF(シート１!$K$18="いいえ",AE44,J46)</f>
        <v>0</v>
      </c>
    </row>
    <row r="45" spans="1:32" ht="15" thickBot="1" thickTop="1">
      <c r="A45" s="33"/>
      <c r="B45" s="58" t="s">
        <v>50</v>
      </c>
      <c r="C45" s="58">
        <v>32</v>
      </c>
      <c r="D45" s="59">
        <f t="shared" si="31"/>
        <v>22</v>
      </c>
      <c r="E45" s="59">
        <f t="shared" si="27"/>
        <v>0</v>
      </c>
      <c r="F45" s="67">
        <f t="shared" si="32"/>
        <v>0</v>
      </c>
      <c r="G45" s="59">
        <f t="shared" si="28"/>
        <v>0</v>
      </c>
      <c r="H45" s="59">
        <f t="shared" si="33"/>
        <v>0</v>
      </c>
      <c r="I45" s="59">
        <f t="shared" si="29"/>
        <v>0</v>
      </c>
      <c r="J45" s="59">
        <f t="shared" si="30"/>
        <v>0</v>
      </c>
      <c r="M45" s="1"/>
      <c r="N45" s="49">
        <f t="shared" si="15"/>
        <v>0</v>
      </c>
      <c r="O45" s="49">
        <f t="shared" si="16"/>
        <v>0</v>
      </c>
      <c r="P45" s="49">
        <f t="shared" si="17"/>
        <v>0</v>
      </c>
      <c r="Q45" s="1">
        <f t="shared" si="18"/>
        <v>0</v>
      </c>
      <c r="R45" s="1">
        <f>IF(シート１!$K$18="いいえ",Q45,J47)</f>
        <v>0</v>
      </c>
      <c r="T45" s="44">
        <f t="shared" si="19"/>
        <v>0</v>
      </c>
      <c r="U45" s="44">
        <f t="shared" si="20"/>
        <v>0</v>
      </c>
      <c r="V45" s="44">
        <f t="shared" si="21"/>
        <v>0</v>
      </c>
      <c r="W45" s="1">
        <f t="shared" si="22"/>
        <v>0</v>
      </c>
      <c r="X45" s="272">
        <f>IF(シート１!$K$18="いいえ",W45,J19)</f>
        <v>0</v>
      </c>
      <c r="Y45">
        <v>34</v>
      </c>
      <c r="AA45" s="1"/>
      <c r="AB45" s="49">
        <f t="shared" si="23"/>
        <v>0</v>
      </c>
      <c r="AC45" s="49">
        <f t="shared" si="24"/>
        <v>0</v>
      </c>
      <c r="AD45" s="49">
        <f t="shared" si="25"/>
        <v>0</v>
      </c>
      <c r="AE45" s="1">
        <f t="shared" si="26"/>
        <v>0</v>
      </c>
      <c r="AF45" s="267">
        <f>IF(シート１!$K$18="いいえ",AE45,J47)</f>
        <v>0</v>
      </c>
    </row>
    <row r="46" spans="1:32" ht="15" thickBot="1" thickTop="1">
      <c r="A46" s="33"/>
      <c r="B46" s="58" t="s">
        <v>50</v>
      </c>
      <c r="C46" s="58">
        <v>33</v>
      </c>
      <c r="D46" s="59">
        <f t="shared" si="31"/>
        <v>23</v>
      </c>
      <c r="E46" s="59">
        <f t="shared" si="27"/>
        <v>0</v>
      </c>
      <c r="F46" s="67">
        <f t="shared" si="32"/>
        <v>0</v>
      </c>
      <c r="G46" s="59">
        <f t="shared" si="28"/>
        <v>0</v>
      </c>
      <c r="H46" s="59">
        <f t="shared" si="33"/>
        <v>0</v>
      </c>
      <c r="I46" s="59">
        <f t="shared" si="29"/>
        <v>0</v>
      </c>
      <c r="J46" s="59">
        <f t="shared" si="30"/>
        <v>0</v>
      </c>
      <c r="M46" s="1"/>
      <c r="N46" s="49">
        <f t="shared" si="15"/>
        <v>0</v>
      </c>
      <c r="O46" s="49">
        <f t="shared" si="16"/>
        <v>0</v>
      </c>
      <c r="P46" s="49">
        <f t="shared" si="17"/>
        <v>0</v>
      </c>
      <c r="Q46" s="1">
        <f t="shared" si="18"/>
        <v>0</v>
      </c>
      <c r="R46" s="1">
        <f>IF(シート１!$K$18="いいえ",Q46,J48)</f>
        <v>0</v>
      </c>
      <c r="T46" s="44">
        <f t="shared" si="19"/>
        <v>0</v>
      </c>
      <c r="U46" s="44">
        <f t="shared" si="20"/>
        <v>0</v>
      </c>
      <c r="V46" s="44">
        <f t="shared" si="21"/>
        <v>0</v>
      </c>
      <c r="W46" s="1">
        <f t="shared" si="22"/>
        <v>0</v>
      </c>
      <c r="X46" s="272">
        <f>IF(シート１!$K$18="いいえ",W46,J20)</f>
        <v>0</v>
      </c>
      <c r="Y46">
        <v>35</v>
      </c>
      <c r="AA46" s="1"/>
      <c r="AB46" s="49">
        <f>IF(AA14&gt;18,0,AB14)</f>
        <v>0</v>
      </c>
      <c r="AC46" s="49">
        <f t="shared" si="24"/>
        <v>0</v>
      </c>
      <c r="AD46" s="49">
        <f t="shared" si="25"/>
        <v>0</v>
      </c>
      <c r="AE46" s="1">
        <f t="shared" si="26"/>
        <v>0</v>
      </c>
      <c r="AF46" s="267">
        <f>IF(シート１!$K$18="いいえ",AE46,J48)</f>
        <v>0</v>
      </c>
    </row>
    <row r="47" spans="1:32" ht="15" thickBot="1" thickTop="1">
      <c r="A47" s="33"/>
      <c r="B47" s="58" t="s">
        <v>50</v>
      </c>
      <c r="C47" s="58">
        <v>34</v>
      </c>
      <c r="D47" s="59">
        <f t="shared" si="31"/>
        <v>24</v>
      </c>
      <c r="E47" s="59">
        <f t="shared" si="27"/>
        <v>0</v>
      </c>
      <c r="F47" s="67">
        <f t="shared" si="32"/>
        <v>0</v>
      </c>
      <c r="G47" s="59">
        <f t="shared" si="28"/>
        <v>0</v>
      </c>
      <c r="H47" s="59">
        <f t="shared" si="33"/>
        <v>0</v>
      </c>
      <c r="I47" s="59">
        <f t="shared" si="29"/>
        <v>0</v>
      </c>
      <c r="J47" s="59">
        <f t="shared" si="30"/>
        <v>0</v>
      </c>
      <c r="M47" s="1"/>
      <c r="N47" s="49">
        <f t="shared" si="15"/>
        <v>0</v>
      </c>
      <c r="O47" s="49">
        <f t="shared" si="16"/>
        <v>0</v>
      </c>
      <c r="P47" s="49">
        <f t="shared" si="17"/>
        <v>0</v>
      </c>
      <c r="Q47" s="1">
        <f t="shared" si="18"/>
        <v>0</v>
      </c>
      <c r="R47" s="1">
        <f>IF(シート１!$K$18="いいえ",Q47,J49)</f>
        <v>0</v>
      </c>
      <c r="T47" s="44">
        <f t="shared" si="19"/>
        <v>0</v>
      </c>
      <c r="U47" s="44">
        <f t="shared" si="20"/>
        <v>0</v>
      </c>
      <c r="V47" s="44">
        <f t="shared" si="21"/>
        <v>0</v>
      </c>
      <c r="W47" s="1">
        <f t="shared" si="22"/>
        <v>0</v>
      </c>
      <c r="X47" s="272">
        <f>IF(シート１!$K$18="いいえ",W47,J21)</f>
        <v>0</v>
      </c>
      <c r="Y47">
        <v>36</v>
      </c>
      <c r="AA47" s="1"/>
      <c r="AB47" s="49">
        <f t="shared" si="23"/>
        <v>0</v>
      </c>
      <c r="AC47" s="49">
        <f t="shared" si="24"/>
        <v>0</v>
      </c>
      <c r="AD47" s="49">
        <f t="shared" si="25"/>
        <v>0</v>
      </c>
      <c r="AE47" s="1">
        <f t="shared" si="26"/>
        <v>0</v>
      </c>
      <c r="AF47" s="267">
        <f>IF(シート１!$K$18="いいえ",AE47,J49)</f>
        <v>0</v>
      </c>
    </row>
    <row r="48" spans="1:32" ht="15" thickBot="1" thickTop="1">
      <c r="A48" s="33"/>
      <c r="B48" s="58" t="s">
        <v>50</v>
      </c>
      <c r="C48" s="58">
        <v>35</v>
      </c>
      <c r="D48" s="59">
        <f t="shared" si="31"/>
        <v>25</v>
      </c>
      <c r="E48" s="59">
        <f t="shared" si="27"/>
        <v>0</v>
      </c>
      <c r="F48" s="67">
        <f t="shared" si="32"/>
        <v>0</v>
      </c>
      <c r="G48" s="59">
        <f t="shared" si="28"/>
        <v>0</v>
      </c>
      <c r="H48" s="59">
        <f t="shared" si="33"/>
        <v>0</v>
      </c>
      <c r="I48" s="59">
        <f t="shared" si="29"/>
        <v>0</v>
      </c>
      <c r="J48" s="59">
        <f t="shared" si="30"/>
        <v>0</v>
      </c>
      <c r="M48" s="1"/>
      <c r="N48" s="49">
        <f t="shared" si="15"/>
        <v>0</v>
      </c>
      <c r="O48" s="49">
        <f t="shared" si="16"/>
        <v>0</v>
      </c>
      <c r="P48" s="49">
        <f t="shared" si="17"/>
        <v>0</v>
      </c>
      <c r="Q48" s="1">
        <f t="shared" si="18"/>
        <v>0</v>
      </c>
      <c r="R48" s="1">
        <f>IF(シート１!$K$18="いいえ",Q48,J50)</f>
        <v>0</v>
      </c>
      <c r="T48" s="44">
        <f t="shared" si="19"/>
        <v>0</v>
      </c>
      <c r="U48" s="44">
        <f t="shared" si="20"/>
        <v>0</v>
      </c>
      <c r="V48" s="44">
        <f t="shared" si="21"/>
        <v>0</v>
      </c>
      <c r="W48" s="1">
        <f t="shared" si="22"/>
        <v>0</v>
      </c>
      <c r="X48" s="272">
        <f>IF(シート１!$K$18="いいえ",W48,J22)</f>
        <v>0</v>
      </c>
      <c r="Y48">
        <v>37</v>
      </c>
      <c r="AA48" s="1"/>
      <c r="AB48" s="49">
        <f t="shared" si="23"/>
        <v>0</v>
      </c>
      <c r="AC48" s="49">
        <f t="shared" si="24"/>
        <v>0</v>
      </c>
      <c r="AD48" s="49">
        <f t="shared" si="25"/>
        <v>0</v>
      </c>
      <c r="AE48" s="1">
        <f t="shared" si="26"/>
        <v>0</v>
      </c>
      <c r="AF48" s="267">
        <f>IF(シート１!$K$18="いいえ",AE48,J50)</f>
        <v>0</v>
      </c>
    </row>
    <row r="49" spans="1:32" ht="15" thickBot="1" thickTop="1">
      <c r="A49" s="33"/>
      <c r="B49" s="58" t="s">
        <v>50</v>
      </c>
      <c r="C49" s="58">
        <v>36</v>
      </c>
      <c r="D49" s="59">
        <f t="shared" si="31"/>
        <v>26</v>
      </c>
      <c r="E49" s="59">
        <f t="shared" si="27"/>
        <v>0</v>
      </c>
      <c r="F49" s="67">
        <f t="shared" si="32"/>
        <v>0</v>
      </c>
      <c r="G49" s="59">
        <f t="shared" si="28"/>
        <v>0</v>
      </c>
      <c r="H49" s="59">
        <f t="shared" si="33"/>
        <v>0</v>
      </c>
      <c r="I49" s="59">
        <f t="shared" si="29"/>
        <v>0</v>
      </c>
      <c r="J49" s="59">
        <f t="shared" si="30"/>
        <v>0</v>
      </c>
      <c r="M49" s="1"/>
      <c r="N49" s="49">
        <f t="shared" si="15"/>
        <v>0</v>
      </c>
      <c r="O49" s="49">
        <f t="shared" si="16"/>
        <v>0</v>
      </c>
      <c r="P49" s="49">
        <f t="shared" si="17"/>
        <v>0</v>
      </c>
      <c r="Q49" s="1">
        <f t="shared" si="18"/>
        <v>0</v>
      </c>
      <c r="R49" s="1">
        <f>IF(シート１!$K$18="いいえ",Q49,J51)</f>
        <v>0</v>
      </c>
      <c r="T49" s="44">
        <f t="shared" si="19"/>
        <v>0</v>
      </c>
      <c r="U49" s="44">
        <f t="shared" si="20"/>
        <v>0</v>
      </c>
      <c r="V49" s="44">
        <f t="shared" si="21"/>
        <v>0</v>
      </c>
      <c r="W49" s="1">
        <f t="shared" si="22"/>
        <v>0</v>
      </c>
      <c r="X49" s="272">
        <f>IF(シート１!$K$18="いいえ",W49,J23)</f>
        <v>0</v>
      </c>
      <c r="Y49">
        <v>38</v>
      </c>
      <c r="AA49" s="1"/>
      <c r="AB49" s="49">
        <f t="shared" si="23"/>
        <v>0</v>
      </c>
      <c r="AC49" s="49">
        <f t="shared" si="24"/>
        <v>0</v>
      </c>
      <c r="AD49" s="49">
        <f t="shared" si="25"/>
        <v>0</v>
      </c>
      <c r="AE49" s="1">
        <f t="shared" si="26"/>
        <v>0</v>
      </c>
      <c r="AF49" s="267">
        <f>IF(シート１!$K$18="いいえ",AE49,J51)</f>
        <v>0</v>
      </c>
    </row>
    <row r="50" spans="1:32" ht="15" thickBot="1" thickTop="1">
      <c r="A50" s="33"/>
      <c r="B50" s="58" t="s">
        <v>50</v>
      </c>
      <c r="C50" s="58">
        <v>37</v>
      </c>
      <c r="D50" s="59">
        <f t="shared" si="31"/>
        <v>27</v>
      </c>
      <c r="E50" s="59">
        <f t="shared" si="27"/>
        <v>0</v>
      </c>
      <c r="F50" s="67">
        <f t="shared" si="32"/>
        <v>0</v>
      </c>
      <c r="G50" s="59">
        <f t="shared" si="28"/>
        <v>0</v>
      </c>
      <c r="H50" s="59">
        <f t="shared" si="33"/>
        <v>0</v>
      </c>
      <c r="I50" s="59">
        <f t="shared" si="29"/>
        <v>0</v>
      </c>
      <c r="J50" s="59">
        <f t="shared" si="30"/>
        <v>0</v>
      </c>
      <c r="M50" s="1"/>
      <c r="N50" s="49">
        <f t="shared" si="15"/>
        <v>0</v>
      </c>
      <c r="O50" s="49">
        <f t="shared" si="16"/>
        <v>0</v>
      </c>
      <c r="P50" s="49">
        <f t="shared" si="17"/>
        <v>0</v>
      </c>
      <c r="Q50" s="1">
        <f t="shared" si="18"/>
        <v>0</v>
      </c>
      <c r="R50" s="1">
        <f>IF(シート１!$K$18="いいえ",Q50,J52)</f>
        <v>0</v>
      </c>
      <c r="T50" s="44">
        <f t="shared" si="19"/>
        <v>0</v>
      </c>
      <c r="U50" s="44">
        <f t="shared" si="20"/>
        <v>0</v>
      </c>
      <c r="V50" s="44">
        <f t="shared" si="21"/>
        <v>0</v>
      </c>
      <c r="W50" s="1">
        <f t="shared" si="22"/>
        <v>0</v>
      </c>
      <c r="X50" s="272">
        <f>IF(シート１!$K$18="いいえ",W50,J24)</f>
        <v>0</v>
      </c>
      <c r="Y50">
        <v>39</v>
      </c>
      <c r="AA50" s="1"/>
      <c r="AB50" s="49">
        <f t="shared" si="23"/>
        <v>0</v>
      </c>
      <c r="AC50" s="49">
        <f t="shared" si="24"/>
        <v>0</v>
      </c>
      <c r="AD50" s="49">
        <f t="shared" si="25"/>
        <v>0</v>
      </c>
      <c r="AE50" s="1">
        <f t="shared" si="26"/>
        <v>0</v>
      </c>
      <c r="AF50" s="267">
        <f>IF(シート１!$K$18="いいえ",AE50,J52)</f>
        <v>0</v>
      </c>
    </row>
    <row r="51" spans="1:32" ht="15" thickBot="1" thickTop="1">
      <c r="A51" s="33"/>
      <c r="B51" s="58" t="s">
        <v>50</v>
      </c>
      <c r="C51" s="58">
        <v>38</v>
      </c>
      <c r="D51" s="59">
        <f t="shared" si="31"/>
        <v>28</v>
      </c>
      <c r="E51" s="59">
        <f t="shared" si="27"/>
        <v>0</v>
      </c>
      <c r="F51" s="67">
        <f t="shared" si="32"/>
        <v>0</v>
      </c>
      <c r="G51" s="59">
        <f t="shared" si="28"/>
        <v>0</v>
      </c>
      <c r="H51" s="59">
        <f t="shared" si="33"/>
        <v>0</v>
      </c>
      <c r="I51" s="59">
        <f t="shared" si="29"/>
        <v>0</v>
      </c>
      <c r="J51" s="59">
        <f t="shared" si="30"/>
        <v>0</v>
      </c>
      <c r="M51" s="1"/>
      <c r="N51" s="49">
        <f t="shared" si="15"/>
        <v>0</v>
      </c>
      <c r="O51" s="49">
        <f t="shared" si="16"/>
        <v>0</v>
      </c>
      <c r="P51" s="49">
        <f t="shared" si="17"/>
        <v>0</v>
      </c>
      <c r="Q51" s="1">
        <f t="shared" si="18"/>
        <v>0</v>
      </c>
      <c r="R51" s="1">
        <f>IF(シート１!$K$18="いいえ",Q51,J53)</f>
        <v>0</v>
      </c>
      <c r="T51" s="44">
        <f t="shared" si="19"/>
        <v>0</v>
      </c>
      <c r="U51" s="44">
        <f t="shared" si="20"/>
        <v>0</v>
      </c>
      <c r="V51" s="44">
        <f t="shared" si="21"/>
        <v>0</v>
      </c>
      <c r="W51" s="1">
        <f t="shared" si="22"/>
        <v>0</v>
      </c>
      <c r="X51" s="272">
        <f>IF(シート１!$K$18="いいえ",W51,J25)</f>
        <v>0</v>
      </c>
      <c r="Y51">
        <v>40</v>
      </c>
      <c r="AA51" s="1"/>
      <c r="AB51" s="49">
        <f t="shared" si="23"/>
        <v>0</v>
      </c>
      <c r="AC51" s="49">
        <f t="shared" si="24"/>
        <v>0</v>
      </c>
      <c r="AD51" s="49">
        <f t="shared" si="25"/>
        <v>0</v>
      </c>
      <c r="AE51" s="1">
        <f t="shared" si="26"/>
        <v>0</v>
      </c>
      <c r="AF51" s="267">
        <f>IF(シート１!$K$18="いいえ",AE51,J53)</f>
        <v>0</v>
      </c>
    </row>
    <row r="52" spans="1:32" ht="15" thickBot="1" thickTop="1">
      <c r="A52" s="33"/>
      <c r="B52" s="58" t="s">
        <v>50</v>
      </c>
      <c r="C52" s="58">
        <v>39</v>
      </c>
      <c r="D52" s="59">
        <f t="shared" si="31"/>
        <v>29</v>
      </c>
      <c r="E52" s="59">
        <f t="shared" si="27"/>
        <v>0</v>
      </c>
      <c r="F52" s="67">
        <f t="shared" si="32"/>
        <v>0</v>
      </c>
      <c r="G52" s="59">
        <f t="shared" si="28"/>
        <v>0</v>
      </c>
      <c r="H52" s="59">
        <f t="shared" si="33"/>
        <v>0</v>
      </c>
      <c r="I52" s="59">
        <f t="shared" si="29"/>
        <v>0</v>
      </c>
      <c r="J52" s="59">
        <f t="shared" si="30"/>
        <v>0</v>
      </c>
      <c r="M52" s="1"/>
      <c r="N52" s="49">
        <f t="shared" si="15"/>
        <v>0</v>
      </c>
      <c r="O52" s="49">
        <f t="shared" si="16"/>
        <v>0</v>
      </c>
      <c r="P52" s="49">
        <f t="shared" si="17"/>
        <v>0</v>
      </c>
      <c r="Q52" s="1">
        <f t="shared" si="18"/>
        <v>0</v>
      </c>
      <c r="R52" s="1">
        <f>IF(シート１!$K$18="いいえ",Q52,J54)</f>
        <v>0</v>
      </c>
      <c r="T52" s="44">
        <f t="shared" si="19"/>
        <v>0</v>
      </c>
      <c r="U52" s="44">
        <f t="shared" si="20"/>
        <v>0</v>
      </c>
      <c r="V52" s="44">
        <f t="shared" si="21"/>
        <v>0</v>
      </c>
      <c r="W52" s="1">
        <f t="shared" si="22"/>
        <v>0</v>
      </c>
      <c r="X52" s="272">
        <f>IF(シート１!$K$18="いいえ",W52,J26)</f>
        <v>0</v>
      </c>
      <c r="Y52">
        <v>41</v>
      </c>
      <c r="AA52" s="1"/>
      <c r="AB52" s="49">
        <f t="shared" si="23"/>
        <v>0</v>
      </c>
      <c r="AC52" s="49">
        <f t="shared" si="24"/>
        <v>0</v>
      </c>
      <c r="AD52" s="49">
        <f t="shared" si="25"/>
        <v>0</v>
      </c>
      <c r="AE52" s="1">
        <f t="shared" si="26"/>
        <v>0</v>
      </c>
      <c r="AF52" s="267">
        <f>IF(シート１!$K$18="いいえ",AE52,J54)</f>
        <v>0</v>
      </c>
    </row>
    <row r="53" spans="1:32" ht="15" thickBot="1" thickTop="1">
      <c r="A53" s="33"/>
      <c r="B53" s="58" t="s">
        <v>50</v>
      </c>
      <c r="C53" s="58">
        <v>40</v>
      </c>
      <c r="D53" s="59">
        <f t="shared" si="31"/>
        <v>30</v>
      </c>
      <c r="E53" s="59">
        <f t="shared" si="27"/>
        <v>0</v>
      </c>
      <c r="F53" s="67">
        <f t="shared" si="32"/>
        <v>0</v>
      </c>
      <c r="G53" s="59">
        <f t="shared" si="28"/>
        <v>0</v>
      </c>
      <c r="H53" s="59">
        <f t="shared" si="33"/>
        <v>0</v>
      </c>
      <c r="I53" s="59">
        <f t="shared" si="29"/>
        <v>0</v>
      </c>
      <c r="J53" s="59">
        <f t="shared" si="30"/>
        <v>0</v>
      </c>
      <c r="M53" s="1"/>
      <c r="N53" s="49">
        <f t="shared" si="15"/>
        <v>0</v>
      </c>
      <c r="O53" s="49">
        <f t="shared" si="16"/>
        <v>0</v>
      </c>
      <c r="P53" s="49">
        <f t="shared" si="17"/>
        <v>0</v>
      </c>
      <c r="Q53" s="1">
        <f t="shared" si="18"/>
        <v>0</v>
      </c>
      <c r="R53" s="1">
        <f>IF(シート１!$K$18="いいえ",Q53,J55)</f>
        <v>0</v>
      </c>
      <c r="T53" s="44">
        <f t="shared" si="19"/>
        <v>0</v>
      </c>
      <c r="U53" s="44">
        <f t="shared" si="20"/>
        <v>0</v>
      </c>
      <c r="V53" s="44">
        <f t="shared" si="21"/>
        <v>0</v>
      </c>
      <c r="W53" s="1">
        <f t="shared" si="22"/>
        <v>0</v>
      </c>
      <c r="X53" s="272">
        <f>IF(シート１!$K$18="いいえ",W53,J27)</f>
        <v>0</v>
      </c>
      <c r="Y53">
        <v>42</v>
      </c>
      <c r="AB53" s="49">
        <f t="shared" si="23"/>
        <v>0</v>
      </c>
      <c r="AC53" s="49">
        <f t="shared" si="24"/>
        <v>0</v>
      </c>
      <c r="AD53" s="49">
        <f t="shared" si="25"/>
        <v>0</v>
      </c>
      <c r="AE53" s="1">
        <f aca="true" t="shared" si="34" ref="AE53:AE61">+AB53+AC53+AD53</f>
        <v>0</v>
      </c>
      <c r="AF53" s="267">
        <f>IF(シート１!$K$18="いいえ",AE53,J55)</f>
        <v>0</v>
      </c>
    </row>
    <row r="54" spans="1:32" ht="15" thickBot="1" thickTop="1">
      <c r="A54" s="33"/>
      <c r="B54" s="58" t="s">
        <v>50</v>
      </c>
      <c r="C54" s="58">
        <v>41</v>
      </c>
      <c r="D54" s="59">
        <f t="shared" si="31"/>
        <v>31</v>
      </c>
      <c r="E54" s="59">
        <f t="shared" si="27"/>
        <v>0</v>
      </c>
      <c r="F54" s="67">
        <f t="shared" si="32"/>
        <v>0</v>
      </c>
      <c r="G54" s="59">
        <f t="shared" si="28"/>
        <v>0</v>
      </c>
      <c r="H54" s="59">
        <f t="shared" si="33"/>
        <v>0</v>
      </c>
      <c r="I54" s="59">
        <f t="shared" si="29"/>
        <v>0</v>
      </c>
      <c r="J54" s="59">
        <f t="shared" si="30"/>
        <v>0</v>
      </c>
      <c r="M54" s="1"/>
      <c r="N54" s="49">
        <f t="shared" si="15"/>
        <v>0</v>
      </c>
      <c r="O54" s="49">
        <f t="shared" si="16"/>
        <v>0</v>
      </c>
      <c r="P54" s="49">
        <f t="shared" si="17"/>
        <v>0</v>
      </c>
      <c r="Q54" s="1">
        <f t="shared" si="18"/>
        <v>0</v>
      </c>
      <c r="R54" s="1">
        <f>IF(シート１!$K$18="いいえ",Q54,J56)</f>
        <v>0</v>
      </c>
      <c r="T54" s="44">
        <f t="shared" si="19"/>
        <v>0</v>
      </c>
      <c r="U54" s="44">
        <f t="shared" si="20"/>
        <v>0</v>
      </c>
      <c r="V54" s="44">
        <f t="shared" si="21"/>
        <v>0</v>
      </c>
      <c r="W54" s="1">
        <f t="shared" si="22"/>
        <v>0</v>
      </c>
      <c r="X54" s="272">
        <f>IF(シート１!$K$18="いいえ",W54,J28)</f>
        <v>0</v>
      </c>
      <c r="Y54">
        <v>43</v>
      </c>
      <c r="AB54" s="49">
        <f t="shared" si="23"/>
        <v>0</v>
      </c>
      <c r="AC54" s="49">
        <f t="shared" si="24"/>
        <v>0</v>
      </c>
      <c r="AD54" s="49">
        <f t="shared" si="25"/>
        <v>0</v>
      </c>
      <c r="AE54" s="1">
        <f t="shared" si="34"/>
        <v>0</v>
      </c>
      <c r="AF54" s="267">
        <f>IF(シート１!$K$18="いいえ",AE54,J56)</f>
        <v>0</v>
      </c>
    </row>
    <row r="55" spans="1:32" ht="15" thickBot="1" thickTop="1">
      <c r="A55" s="33"/>
      <c r="B55" s="58" t="s">
        <v>50</v>
      </c>
      <c r="C55" s="58">
        <v>42</v>
      </c>
      <c r="D55" s="59">
        <f t="shared" si="31"/>
        <v>32</v>
      </c>
      <c r="E55" s="59">
        <f t="shared" si="27"/>
        <v>0</v>
      </c>
      <c r="F55" s="67">
        <f t="shared" si="32"/>
        <v>0</v>
      </c>
      <c r="G55" s="59">
        <f t="shared" si="28"/>
        <v>0</v>
      </c>
      <c r="H55" s="59">
        <f t="shared" si="33"/>
        <v>0</v>
      </c>
      <c r="I55" s="59">
        <f t="shared" si="29"/>
        <v>0</v>
      </c>
      <c r="J55" s="59">
        <f t="shared" si="30"/>
        <v>0</v>
      </c>
      <c r="K55" s="33"/>
      <c r="L55" s="33"/>
      <c r="M55" s="1"/>
      <c r="N55" s="49">
        <f t="shared" si="15"/>
        <v>0</v>
      </c>
      <c r="O55" s="49">
        <f t="shared" si="16"/>
        <v>0</v>
      </c>
      <c r="P55" s="49">
        <f t="shared" si="17"/>
        <v>0</v>
      </c>
      <c r="Q55" s="1">
        <f aca="true" t="shared" si="35" ref="Q55:Q60">+N55+O55+P55</f>
        <v>0</v>
      </c>
      <c r="R55" s="1">
        <f>IF(シート１!$K$18="いいえ",Q55,J57)</f>
        <v>0</v>
      </c>
      <c r="T55" s="44">
        <f t="shared" si="19"/>
        <v>0</v>
      </c>
      <c r="U55" s="44">
        <f t="shared" si="20"/>
        <v>0</v>
      </c>
      <c r="V55" s="44">
        <f t="shared" si="21"/>
        <v>0</v>
      </c>
      <c r="W55" s="1">
        <f t="shared" si="22"/>
        <v>0</v>
      </c>
      <c r="X55" s="272">
        <f>IF(シート１!$K$18="いいえ",W55,J29)</f>
        <v>0</v>
      </c>
      <c r="Y55">
        <v>44</v>
      </c>
      <c r="AB55" s="49">
        <f t="shared" si="23"/>
        <v>0</v>
      </c>
      <c r="AC55" s="49">
        <f t="shared" si="24"/>
        <v>0</v>
      </c>
      <c r="AD55" s="49">
        <f t="shared" si="25"/>
        <v>0</v>
      </c>
      <c r="AE55" s="1">
        <f t="shared" si="34"/>
        <v>0</v>
      </c>
      <c r="AF55" s="267">
        <f>IF(シート１!$K$18="いいえ",AE55,J57)</f>
        <v>0</v>
      </c>
    </row>
    <row r="56" spans="2:32" ht="15" thickBot="1" thickTop="1">
      <c r="B56" s="58" t="s">
        <v>50</v>
      </c>
      <c r="C56" s="58">
        <v>43</v>
      </c>
      <c r="D56" s="59">
        <f t="shared" si="31"/>
        <v>33</v>
      </c>
      <c r="E56" s="59">
        <f t="shared" si="27"/>
        <v>0</v>
      </c>
      <c r="F56" s="67">
        <f t="shared" si="32"/>
        <v>0</v>
      </c>
      <c r="G56" s="59">
        <f t="shared" si="28"/>
        <v>0</v>
      </c>
      <c r="H56" s="59">
        <f t="shared" si="33"/>
        <v>0</v>
      </c>
      <c r="I56" s="59">
        <f t="shared" si="29"/>
        <v>0</v>
      </c>
      <c r="J56" s="59">
        <f t="shared" si="30"/>
        <v>0</v>
      </c>
      <c r="M56" s="1"/>
      <c r="N56" s="49">
        <f t="shared" si="15"/>
        <v>0</v>
      </c>
      <c r="O56" s="49">
        <f t="shared" si="16"/>
        <v>0</v>
      </c>
      <c r="P56" s="49">
        <f t="shared" si="17"/>
        <v>0</v>
      </c>
      <c r="Q56" s="1">
        <f t="shared" si="35"/>
        <v>0</v>
      </c>
      <c r="R56" s="1">
        <f>IF(シート１!$K$18="いいえ",Q56,J58)</f>
        <v>0</v>
      </c>
      <c r="T56" s="44">
        <f t="shared" si="19"/>
        <v>0</v>
      </c>
      <c r="U56" s="44">
        <f t="shared" si="20"/>
        <v>0</v>
      </c>
      <c r="V56" s="44">
        <f t="shared" si="21"/>
        <v>0</v>
      </c>
      <c r="W56" s="1">
        <f t="shared" si="22"/>
        <v>0</v>
      </c>
      <c r="X56" s="272">
        <f>IF(シート１!$K$18="いいえ",W56,J30)</f>
        <v>0</v>
      </c>
      <c r="Y56">
        <v>45</v>
      </c>
      <c r="AB56" s="49">
        <f t="shared" si="23"/>
        <v>0</v>
      </c>
      <c r="AC56" s="49">
        <f t="shared" si="24"/>
        <v>0</v>
      </c>
      <c r="AD56" s="49">
        <f t="shared" si="25"/>
        <v>0</v>
      </c>
      <c r="AE56" s="1">
        <f t="shared" si="34"/>
        <v>0</v>
      </c>
      <c r="AF56" s="267">
        <f>IF(シート１!$K$18="いいえ",AE56,J58)</f>
        <v>0</v>
      </c>
    </row>
    <row r="57" spans="2:32" ht="15" thickBot="1" thickTop="1">
      <c r="B57" s="58" t="s">
        <v>50</v>
      </c>
      <c r="C57" s="58">
        <v>44</v>
      </c>
      <c r="D57" s="59">
        <f t="shared" si="31"/>
        <v>34</v>
      </c>
      <c r="E57" s="59">
        <f aca="true" t="shared" si="36" ref="E57:E65">VLOOKUP(D57,$M$8:$P$31,3,1)</f>
        <v>0</v>
      </c>
      <c r="F57" s="67">
        <f t="shared" si="32"/>
        <v>0</v>
      </c>
      <c r="G57" s="59">
        <f aca="true" t="shared" si="37" ref="G57:G65">VLOOKUP(F57,$M$8:$P$31,3,1)</f>
        <v>0</v>
      </c>
      <c r="H57" s="59">
        <f t="shared" si="33"/>
        <v>0</v>
      </c>
      <c r="I57" s="59">
        <f aca="true" t="shared" si="38" ref="I57:I65">VLOOKUP(H57,$M$8:$P$31,3,1)</f>
        <v>0</v>
      </c>
      <c r="J57" s="59">
        <f aca="true" t="shared" si="39" ref="J57:J65">+E57+G57+I57</f>
        <v>0</v>
      </c>
      <c r="M57" s="1"/>
      <c r="N57" s="49">
        <f t="shared" si="15"/>
        <v>0</v>
      </c>
      <c r="O57" s="49">
        <f t="shared" si="16"/>
        <v>0</v>
      </c>
      <c r="P57" s="49">
        <f t="shared" si="17"/>
        <v>0</v>
      </c>
      <c r="Q57" s="1">
        <f t="shared" si="35"/>
        <v>0</v>
      </c>
      <c r="R57" s="1">
        <f>IF(シート１!$K$18="いいえ",Q57,J59)</f>
        <v>0</v>
      </c>
      <c r="T57" s="44">
        <f t="shared" si="19"/>
        <v>0</v>
      </c>
      <c r="U57" s="44">
        <f t="shared" si="20"/>
        <v>0</v>
      </c>
      <c r="V57" s="44">
        <f t="shared" si="21"/>
        <v>0</v>
      </c>
      <c r="W57" s="1">
        <f t="shared" si="22"/>
        <v>0</v>
      </c>
      <c r="X57" s="272">
        <f>IF(シート１!$K$18="いいえ",W57,J31)</f>
        <v>0</v>
      </c>
      <c r="Y57">
        <v>46</v>
      </c>
      <c r="AB57" s="49">
        <f t="shared" si="23"/>
        <v>0</v>
      </c>
      <c r="AC57" s="49">
        <f t="shared" si="24"/>
        <v>0</v>
      </c>
      <c r="AD57" s="49">
        <f t="shared" si="25"/>
        <v>0</v>
      </c>
      <c r="AE57" s="1">
        <f t="shared" si="34"/>
        <v>0</v>
      </c>
      <c r="AF57" s="267">
        <f>IF(シート１!$K$18="いいえ",AE57,J59)</f>
        <v>0</v>
      </c>
    </row>
    <row r="58" spans="2:32" ht="15" thickBot="1" thickTop="1">
      <c r="B58" s="58" t="s">
        <v>50</v>
      </c>
      <c r="C58" s="58">
        <v>45</v>
      </c>
      <c r="D58" s="59">
        <f t="shared" si="31"/>
        <v>35</v>
      </c>
      <c r="E58" s="59">
        <f t="shared" si="36"/>
        <v>0</v>
      </c>
      <c r="F58" s="67">
        <f t="shared" si="32"/>
        <v>0</v>
      </c>
      <c r="G58" s="59">
        <f t="shared" si="37"/>
        <v>0</v>
      </c>
      <c r="H58" s="59">
        <f t="shared" si="33"/>
        <v>0</v>
      </c>
      <c r="I58" s="59">
        <f t="shared" si="38"/>
        <v>0</v>
      </c>
      <c r="J58" s="59">
        <f t="shared" si="39"/>
        <v>0</v>
      </c>
      <c r="M58" s="1"/>
      <c r="N58" s="49">
        <f t="shared" si="15"/>
        <v>0</v>
      </c>
      <c r="O58" s="49">
        <f t="shared" si="16"/>
        <v>0</v>
      </c>
      <c r="P58" s="49">
        <f t="shared" si="17"/>
        <v>0</v>
      </c>
      <c r="Q58" s="1">
        <f t="shared" si="35"/>
        <v>0</v>
      </c>
      <c r="R58" s="1">
        <f>IF(シート１!$K$18="いいえ",Q58,J60)</f>
        <v>0</v>
      </c>
      <c r="T58" s="44">
        <f t="shared" si="19"/>
        <v>0</v>
      </c>
      <c r="U58" s="44">
        <f t="shared" si="20"/>
        <v>0</v>
      </c>
      <c r="V58" s="44">
        <f t="shared" si="21"/>
        <v>0</v>
      </c>
      <c r="W58" s="1">
        <f t="shared" si="22"/>
        <v>0</v>
      </c>
      <c r="X58" s="272">
        <f>IF(シート１!$K$18="いいえ",W58,J34)</f>
        <v>0</v>
      </c>
      <c r="Y58">
        <v>47</v>
      </c>
      <c r="AB58" s="49">
        <f t="shared" si="23"/>
        <v>0</v>
      </c>
      <c r="AC58" s="49">
        <f t="shared" si="24"/>
        <v>0</v>
      </c>
      <c r="AD58" s="49">
        <f t="shared" si="25"/>
        <v>0</v>
      </c>
      <c r="AE58" s="1">
        <f t="shared" si="34"/>
        <v>0</v>
      </c>
      <c r="AF58" s="267">
        <f>IF(シート１!$K$18="いいえ",AE58,J60)</f>
        <v>0</v>
      </c>
    </row>
    <row r="59" spans="2:32" ht="15" thickBot="1" thickTop="1">
      <c r="B59" s="58" t="s">
        <v>50</v>
      </c>
      <c r="C59" s="58">
        <v>46</v>
      </c>
      <c r="D59" s="59">
        <f t="shared" si="31"/>
        <v>36</v>
      </c>
      <c r="E59" s="59">
        <f t="shared" si="36"/>
        <v>0</v>
      </c>
      <c r="F59" s="67">
        <f t="shared" si="32"/>
        <v>0</v>
      </c>
      <c r="G59" s="59">
        <f t="shared" si="37"/>
        <v>0</v>
      </c>
      <c r="H59" s="59">
        <f t="shared" si="33"/>
        <v>0</v>
      </c>
      <c r="I59" s="59">
        <f t="shared" si="38"/>
        <v>0</v>
      </c>
      <c r="J59" s="59">
        <f t="shared" si="39"/>
        <v>0</v>
      </c>
      <c r="M59" s="1"/>
      <c r="N59" s="49">
        <f t="shared" si="15"/>
        <v>0</v>
      </c>
      <c r="O59" s="49">
        <f t="shared" si="16"/>
        <v>0</v>
      </c>
      <c r="P59" s="49">
        <f t="shared" si="17"/>
        <v>0</v>
      </c>
      <c r="Q59" s="1">
        <f t="shared" si="35"/>
        <v>0</v>
      </c>
      <c r="R59" s="1">
        <f>IF(シート１!$K$18="いいえ",Q59,J61)</f>
        <v>0</v>
      </c>
      <c r="T59" s="44">
        <f t="shared" si="19"/>
        <v>0</v>
      </c>
      <c r="U59" s="44">
        <f t="shared" si="20"/>
        <v>0</v>
      </c>
      <c r="V59" s="44">
        <f t="shared" si="21"/>
        <v>0</v>
      </c>
      <c r="W59" s="1">
        <f t="shared" si="22"/>
        <v>0</v>
      </c>
      <c r="X59" s="272" t="str">
        <f>IF(シート１!$K$18="いいえ",W59,J35)</f>
        <v>合計</v>
      </c>
      <c r="Y59">
        <v>48</v>
      </c>
      <c r="AB59" s="49">
        <f t="shared" si="23"/>
        <v>0</v>
      </c>
      <c r="AC59" s="49">
        <f t="shared" si="24"/>
        <v>0</v>
      </c>
      <c r="AD59" s="49">
        <f t="shared" si="25"/>
        <v>0</v>
      </c>
      <c r="AE59" s="1">
        <f t="shared" si="34"/>
        <v>0</v>
      </c>
      <c r="AF59" s="267">
        <f>IF(シート１!$K$18="いいえ",AE59,J61)</f>
        <v>0</v>
      </c>
    </row>
    <row r="60" spans="2:32" ht="15" thickBot="1" thickTop="1">
      <c r="B60" s="58" t="s">
        <v>50</v>
      </c>
      <c r="C60" s="58">
        <v>47</v>
      </c>
      <c r="D60" s="59">
        <f t="shared" si="31"/>
        <v>37</v>
      </c>
      <c r="E60" s="59">
        <f t="shared" si="36"/>
        <v>0</v>
      </c>
      <c r="F60" s="67">
        <f t="shared" si="32"/>
        <v>0</v>
      </c>
      <c r="G60" s="59">
        <f t="shared" si="37"/>
        <v>0</v>
      </c>
      <c r="H60" s="59">
        <f t="shared" si="33"/>
        <v>0</v>
      </c>
      <c r="I60" s="59">
        <f t="shared" si="38"/>
        <v>0</v>
      </c>
      <c r="J60" s="59">
        <f t="shared" si="39"/>
        <v>0</v>
      </c>
      <c r="M60" s="1"/>
      <c r="N60" s="49">
        <f t="shared" si="15"/>
        <v>0</v>
      </c>
      <c r="O60" s="49">
        <f t="shared" si="16"/>
        <v>0</v>
      </c>
      <c r="P60" s="49">
        <f t="shared" si="17"/>
        <v>0</v>
      </c>
      <c r="Q60" s="1">
        <f t="shared" si="35"/>
        <v>0</v>
      </c>
      <c r="R60" s="1">
        <f>IF(シート１!$K$18="いいえ",Q60,J62)</f>
        <v>0</v>
      </c>
      <c r="T60" s="44">
        <f t="shared" si="19"/>
        <v>0</v>
      </c>
      <c r="U60" s="44">
        <f t="shared" si="20"/>
        <v>0</v>
      </c>
      <c r="V60" s="44">
        <f t="shared" si="21"/>
        <v>0</v>
      </c>
      <c r="W60" s="1">
        <f t="shared" si="22"/>
        <v>0</v>
      </c>
      <c r="X60" s="272" t="str">
        <f>IF(シート１!$K$18="いいえ",W60,J36)</f>
        <v>費用</v>
      </c>
      <c r="Y60">
        <v>49</v>
      </c>
      <c r="AB60" s="49">
        <f t="shared" si="23"/>
        <v>0</v>
      </c>
      <c r="AC60" s="49">
        <f t="shared" si="24"/>
        <v>0</v>
      </c>
      <c r="AD60" s="49">
        <f t="shared" si="25"/>
        <v>0</v>
      </c>
      <c r="AE60" s="1">
        <f t="shared" si="34"/>
        <v>0</v>
      </c>
      <c r="AF60" s="267">
        <f>IF(シート１!$K$18="いいえ",AE60,J62)</f>
        <v>0</v>
      </c>
    </row>
    <row r="61" spans="2:32" ht="15" thickBot="1" thickTop="1">
      <c r="B61" s="58" t="s">
        <v>50</v>
      </c>
      <c r="C61" s="58">
        <v>48</v>
      </c>
      <c r="D61" s="59">
        <f t="shared" si="31"/>
        <v>38</v>
      </c>
      <c r="E61" s="59">
        <f t="shared" si="36"/>
        <v>0</v>
      </c>
      <c r="F61" s="67">
        <f t="shared" si="32"/>
        <v>0</v>
      </c>
      <c r="G61" s="59">
        <f t="shared" si="37"/>
        <v>0</v>
      </c>
      <c r="H61" s="59">
        <f t="shared" si="33"/>
        <v>0</v>
      </c>
      <c r="I61" s="59">
        <f t="shared" si="38"/>
        <v>0</v>
      </c>
      <c r="J61" s="59">
        <f t="shared" si="39"/>
        <v>0</v>
      </c>
      <c r="AB61" s="49">
        <f t="shared" si="23"/>
        <v>0</v>
      </c>
      <c r="AC61" s="49">
        <f t="shared" si="24"/>
        <v>0</v>
      </c>
      <c r="AD61" s="49">
        <f t="shared" si="25"/>
        <v>0</v>
      </c>
      <c r="AE61" s="1">
        <f t="shared" si="34"/>
        <v>0</v>
      </c>
      <c r="AF61" s="267">
        <f>IF(シート１!$K$18="いいえ",AE61,J63)</f>
        <v>0</v>
      </c>
    </row>
    <row r="62" spans="2:10" ht="15" thickBot="1" thickTop="1">
      <c r="B62" s="58" t="s">
        <v>50</v>
      </c>
      <c r="C62" s="58">
        <v>49</v>
      </c>
      <c r="D62" s="59">
        <f t="shared" si="31"/>
        <v>39</v>
      </c>
      <c r="E62" s="59">
        <f t="shared" si="36"/>
        <v>0</v>
      </c>
      <c r="F62" s="67">
        <f t="shared" si="32"/>
        <v>0</v>
      </c>
      <c r="G62" s="59">
        <f t="shared" si="37"/>
        <v>0</v>
      </c>
      <c r="H62" s="59">
        <f t="shared" si="33"/>
        <v>0</v>
      </c>
      <c r="I62" s="59">
        <f t="shared" si="38"/>
        <v>0</v>
      </c>
      <c r="J62" s="59">
        <f t="shared" si="39"/>
        <v>0</v>
      </c>
    </row>
    <row r="63" spans="2:10" ht="15" thickBot="1" thickTop="1">
      <c r="B63" s="58" t="s">
        <v>50</v>
      </c>
      <c r="C63" s="58">
        <v>50</v>
      </c>
      <c r="D63" s="59">
        <f t="shared" si="31"/>
        <v>40</v>
      </c>
      <c r="E63" s="59">
        <f t="shared" si="36"/>
        <v>0</v>
      </c>
      <c r="F63" s="67">
        <f t="shared" si="32"/>
        <v>0</v>
      </c>
      <c r="G63" s="59">
        <f t="shared" si="37"/>
        <v>0</v>
      </c>
      <c r="H63" s="59">
        <f t="shared" si="33"/>
        <v>0</v>
      </c>
      <c r="I63" s="59">
        <f t="shared" si="38"/>
        <v>0</v>
      </c>
      <c r="J63" s="59">
        <f t="shared" si="39"/>
        <v>0</v>
      </c>
    </row>
    <row r="64" spans="2:10" ht="15" thickBot="1" thickTop="1">
      <c r="B64" s="58" t="s">
        <v>50</v>
      </c>
      <c r="C64" s="58">
        <v>51</v>
      </c>
      <c r="D64" s="59">
        <f t="shared" si="31"/>
        <v>41</v>
      </c>
      <c r="E64" s="59">
        <f t="shared" si="36"/>
        <v>0</v>
      </c>
      <c r="F64" s="67">
        <f t="shared" si="32"/>
        <v>0</v>
      </c>
      <c r="G64" s="59">
        <f t="shared" si="37"/>
        <v>0</v>
      </c>
      <c r="H64" s="59">
        <f t="shared" si="33"/>
        <v>0</v>
      </c>
      <c r="I64" s="59">
        <f t="shared" si="38"/>
        <v>0</v>
      </c>
      <c r="J64" s="59">
        <f t="shared" si="39"/>
        <v>0</v>
      </c>
    </row>
    <row r="65" spans="2:10" ht="15" thickBot="1" thickTop="1">
      <c r="B65" s="58" t="s">
        <v>50</v>
      </c>
      <c r="C65" s="58">
        <v>52</v>
      </c>
      <c r="D65" s="59">
        <f t="shared" si="31"/>
        <v>42</v>
      </c>
      <c r="E65" s="59">
        <f t="shared" si="36"/>
        <v>0</v>
      </c>
      <c r="F65" s="67">
        <f t="shared" si="32"/>
        <v>0</v>
      </c>
      <c r="G65" s="59">
        <f t="shared" si="37"/>
        <v>0</v>
      </c>
      <c r="H65" s="59">
        <f t="shared" si="33"/>
        <v>0</v>
      </c>
      <c r="I65" s="59">
        <f t="shared" si="38"/>
        <v>0</v>
      </c>
      <c r="J65" s="59">
        <f t="shared" si="39"/>
        <v>0</v>
      </c>
    </row>
    <row r="66" ht="14.25" thickTop="1"/>
  </sheetData>
  <sheetProtection/>
  <mergeCells count="13">
    <mergeCell ref="T33:W33"/>
    <mergeCell ref="AA1:AB1"/>
    <mergeCell ref="AC1:AD1"/>
    <mergeCell ref="AE1:AF1"/>
    <mergeCell ref="AA33:AE33"/>
    <mergeCell ref="B7:C8"/>
    <mergeCell ref="M33:Q33"/>
    <mergeCell ref="H35:I35"/>
    <mergeCell ref="D35:E35"/>
    <mergeCell ref="F35:G35"/>
    <mergeCell ref="H7:I7"/>
    <mergeCell ref="F7:G7"/>
    <mergeCell ref="D7:E7"/>
  </mergeCells>
  <printOptions/>
  <pageMargins left="0.2362204724409449" right="0.2362204724409449" top="0.7480314960629921" bottom="0.35433070866141736"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O39" sqref="O39"/>
    </sheetView>
  </sheetViews>
  <sheetFormatPr defaultColWidth="9.140625" defaultRowHeight="15"/>
  <cols>
    <col min="1" max="1" width="4.140625" style="0" customWidth="1"/>
  </cols>
  <sheetData/>
  <sheetProtection/>
  <printOptions/>
  <pageMargins left="1.5748031496062993" right="0.984251968503937" top="0.984251968503937" bottom="0.984251968503937" header="0.5118110236220472" footer="0.5118110236220472"/>
  <pageSetup horizontalDpi="300" verticalDpi="300" orientation="landscape" paperSize="8" scale="1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増子 槙</dc:creator>
  <cp:keywords/>
  <dc:description/>
  <cp:lastModifiedBy>生活再建課　小田島高志(9-22-6927)</cp:lastModifiedBy>
  <cp:lastPrinted>2013-01-08T08:05:13Z</cp:lastPrinted>
  <dcterms:created xsi:type="dcterms:W3CDTF">2011-12-05T06:49:30Z</dcterms:created>
  <dcterms:modified xsi:type="dcterms:W3CDTF">2013-06-24T02:59:22Z</dcterms:modified>
  <cp:category/>
  <cp:version/>
  <cp:contentType/>
  <cp:contentStatus/>
</cp:coreProperties>
</file>